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ОКС\2.  ГКПЗ\ГКПЗ 2018г\10. СМР Рек ПС Горнопр- 2 этап\Проект договора Горн. (2 этап) (СМП, ав.)\"/>
    </mc:Choice>
  </mc:AlternateContent>
  <bookViews>
    <workbookView xWindow="0" yWindow="0" windowWidth="22800" windowHeight="10530" activeTab="2"/>
  </bookViews>
  <sheets>
    <sheet name="ССР 2000 2Э" sheetId="6" r:id="rId1"/>
    <sheet name="ПРСС без оборуд." sheetId="7" r:id="rId2"/>
    <sheet name="СТСР для Подрядчика" sheetId="4" r:id="rId3"/>
    <sheet name="-30% (без оборуд.)" sheetId="3" r:id="rId4"/>
  </sheets>
  <definedNames>
    <definedName name="_xlnm.Print_Area" localSheetId="3">'-30% (без оборуд.)'!$A$1:$I$29</definedName>
    <definedName name="_xlnm.Print_Area" localSheetId="1">'ПРСС без оборуд.'!$A$1:$H$127</definedName>
    <definedName name="_xlnm.Print_Area" localSheetId="0">'ССР 2000 2Э'!$A$1:$H$160</definedName>
    <definedName name="_xlnm.Print_Area" localSheetId="2">'СТСР для Подрядчика'!$A$1:$H$93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4" l="1"/>
  <c r="G91" i="7"/>
  <c r="B30" i="4"/>
  <c r="C30" i="4"/>
  <c r="D30" i="4"/>
  <c r="E30" i="4"/>
  <c r="F30" i="4"/>
  <c r="G30" i="4"/>
  <c r="B31" i="4"/>
  <c r="C31" i="4"/>
  <c r="D31" i="4"/>
  <c r="E31" i="4"/>
  <c r="F31" i="4"/>
  <c r="G31" i="4"/>
  <c r="B32" i="4"/>
  <c r="C32" i="4"/>
  <c r="D32" i="4"/>
  <c r="E32" i="4"/>
  <c r="F32" i="4"/>
  <c r="G32" i="4"/>
  <c r="D39" i="4"/>
  <c r="E39" i="4"/>
  <c r="F39" i="4"/>
  <c r="G39" i="4"/>
  <c r="D40" i="4"/>
  <c r="E40" i="4"/>
  <c r="F40" i="4"/>
  <c r="G40" i="4"/>
  <c r="D41" i="4"/>
  <c r="E41" i="4"/>
  <c r="F41" i="4"/>
  <c r="G41" i="4"/>
  <c r="D42" i="4"/>
  <c r="E42" i="4"/>
  <c r="F42" i="4"/>
  <c r="G42" i="4"/>
  <c r="D43" i="4"/>
  <c r="E43" i="4"/>
  <c r="F43" i="4"/>
  <c r="G43" i="4"/>
  <c r="D44" i="4"/>
  <c r="E44" i="4"/>
  <c r="F44" i="4"/>
  <c r="G44" i="4"/>
  <c r="D45" i="4"/>
  <c r="E45" i="4"/>
  <c r="F45" i="4"/>
  <c r="G45" i="4"/>
  <c r="H81" i="4" l="1"/>
  <c r="H80" i="4"/>
  <c r="H78" i="4"/>
  <c r="H77" i="4"/>
  <c r="C75" i="4"/>
  <c r="C74" i="4"/>
  <c r="C73" i="4"/>
  <c r="B73" i="4"/>
  <c r="B74" i="4"/>
  <c r="B75" i="4"/>
  <c r="C71" i="4"/>
  <c r="B71" i="4"/>
  <c r="C70" i="4"/>
  <c r="B70" i="4"/>
  <c r="C61" i="4"/>
  <c r="B61" i="4"/>
  <c r="B52" i="4"/>
  <c r="C52" i="4"/>
  <c r="C51" i="4"/>
  <c r="B51" i="4"/>
  <c r="H53" i="7"/>
  <c r="H67" i="4"/>
  <c r="H66" i="4"/>
  <c r="H64" i="4"/>
  <c r="H63" i="4"/>
  <c r="H58" i="4"/>
  <c r="H57" i="4"/>
  <c r="H55" i="4"/>
  <c r="H54" i="4"/>
  <c r="H48" i="4"/>
  <c r="H47" i="4"/>
  <c r="B40" i="4" l="1"/>
  <c r="C40" i="4"/>
  <c r="B41" i="4"/>
  <c r="C41" i="4"/>
  <c r="B42" i="4"/>
  <c r="C42" i="4"/>
  <c r="B43" i="4"/>
  <c r="C43" i="4"/>
  <c r="B44" i="4"/>
  <c r="C44" i="4"/>
  <c r="C39" i="4"/>
  <c r="C38" i="4"/>
  <c r="B38" i="4"/>
  <c r="J12" i="3"/>
  <c r="J13" i="3"/>
  <c r="I12" i="3"/>
  <c r="H38" i="3"/>
  <c r="H35" i="4"/>
  <c r="H34" i="4"/>
  <c r="C24" i="4"/>
  <c r="B24" i="4"/>
  <c r="B25" i="4"/>
  <c r="C25" i="4"/>
  <c r="B26" i="4"/>
  <c r="C26" i="4"/>
  <c r="C27" i="4"/>
  <c r="B28" i="4"/>
  <c r="C28" i="4"/>
  <c r="B29" i="4"/>
  <c r="C29" i="4"/>
  <c r="H21" i="4"/>
  <c r="H20" i="4"/>
  <c r="B18" i="4"/>
  <c r="C17" i="4"/>
  <c r="C16" i="4"/>
  <c r="B17" i="4"/>
  <c r="B16" i="4"/>
  <c r="I11" i="4"/>
  <c r="H89" i="7"/>
  <c r="C89" i="7"/>
  <c r="H88" i="7"/>
  <c r="C88" i="7"/>
  <c r="H86" i="7"/>
  <c r="C86" i="7"/>
  <c r="H85" i="7"/>
  <c r="C85" i="7"/>
  <c r="G73" i="7"/>
  <c r="H75" i="7"/>
  <c r="C75" i="7"/>
  <c r="H74" i="7"/>
  <c r="C74" i="7"/>
  <c r="H72" i="7"/>
  <c r="C72" i="7"/>
  <c r="H71" i="7"/>
  <c r="C71" i="7"/>
  <c r="H66" i="7"/>
  <c r="C66" i="7"/>
  <c r="H65" i="7"/>
  <c r="C65" i="7"/>
  <c r="H63" i="7"/>
  <c r="C63" i="7"/>
  <c r="H62" i="7"/>
  <c r="C62" i="7"/>
  <c r="H56" i="7"/>
  <c r="C56" i="7"/>
  <c r="H55" i="7"/>
  <c r="C55" i="7"/>
  <c r="H42" i="7"/>
  <c r="C42" i="7"/>
  <c r="C41" i="7"/>
  <c r="H28" i="7"/>
  <c r="F26" i="7"/>
  <c r="G26" i="7"/>
  <c r="A25" i="7"/>
  <c r="I17" i="7"/>
  <c r="G83" i="7" s="1"/>
  <c r="H83" i="7" l="1"/>
  <c r="I83" i="7" s="1"/>
  <c r="D25" i="7"/>
  <c r="E31" i="7"/>
  <c r="F32" i="7"/>
  <c r="E32" i="7"/>
  <c r="F34" i="7"/>
  <c r="E35" i="7"/>
  <c r="F45" i="7"/>
  <c r="E47" i="7"/>
  <c r="D48" i="7"/>
  <c r="F48" i="7"/>
  <c r="E49" i="7"/>
  <c r="E59" i="7"/>
  <c r="D60" i="7"/>
  <c r="G82" i="7"/>
  <c r="D23" i="7"/>
  <c r="E25" i="7"/>
  <c r="D31" i="7"/>
  <c r="D32" i="7"/>
  <c r="D40" i="7" s="1"/>
  <c r="E34" i="7"/>
  <c r="D35" i="7"/>
  <c r="E45" i="7"/>
  <c r="D47" i="7"/>
  <c r="F47" i="7"/>
  <c r="E48" i="7"/>
  <c r="F49" i="7"/>
  <c r="D51" i="7"/>
  <c r="D59" i="7"/>
  <c r="G81" i="7"/>
  <c r="E40" i="7"/>
  <c r="K92" i="7"/>
  <c r="K94" i="7" s="1"/>
  <c r="D73" i="4"/>
  <c r="F73" i="4"/>
  <c r="D74" i="4"/>
  <c r="F74" i="4"/>
  <c r="D75" i="4"/>
  <c r="F75" i="4"/>
  <c r="E72" i="4"/>
  <c r="G72" i="4"/>
  <c r="D51" i="4"/>
  <c r="E73" i="4"/>
  <c r="E74" i="4"/>
  <c r="E75" i="4"/>
  <c r="G75" i="4"/>
  <c r="F72" i="4"/>
  <c r="F76" i="4" s="1"/>
  <c r="D72" i="4"/>
  <c r="G17" i="4"/>
  <c r="D18" i="4"/>
  <c r="D29" i="4"/>
  <c r="D27" i="4"/>
  <c r="E25" i="4"/>
  <c r="D16" i="4"/>
  <c r="D26" i="4"/>
  <c r="F38" i="4"/>
  <c r="G51" i="4"/>
  <c r="G52" i="4"/>
  <c r="E52" i="4"/>
  <c r="F51" i="4"/>
  <c r="F52" i="4"/>
  <c r="D52" i="4"/>
  <c r="E51" i="4"/>
  <c r="F16" i="4"/>
  <c r="E17" i="4"/>
  <c r="F18" i="4"/>
  <c r="F29" i="4"/>
  <c r="F28" i="4"/>
  <c r="F27" i="4"/>
  <c r="F26" i="4"/>
  <c r="G25" i="4"/>
  <c r="G24" i="4"/>
  <c r="D38" i="4"/>
  <c r="G16" i="4"/>
  <c r="E16" i="4"/>
  <c r="F17" i="4"/>
  <c r="D17" i="4"/>
  <c r="G18" i="4"/>
  <c r="E18" i="4"/>
  <c r="G29" i="4"/>
  <c r="E29" i="4"/>
  <c r="G28" i="4"/>
  <c r="E28" i="4"/>
  <c r="G27" i="4"/>
  <c r="E27" i="4"/>
  <c r="G26" i="4"/>
  <c r="E26" i="4"/>
  <c r="F25" i="4"/>
  <c r="D25" i="4"/>
  <c r="F24" i="4"/>
  <c r="D24" i="4"/>
  <c r="G38" i="4"/>
  <c r="E38" i="4"/>
  <c r="J92" i="7" l="1"/>
  <c r="J94" i="7" s="1"/>
  <c r="H9" i="3"/>
  <c r="E24" i="4"/>
  <c r="H24" i="4" s="1"/>
  <c r="D28" i="4"/>
  <c r="G74" i="4"/>
  <c r="G73" i="4"/>
  <c r="H82" i="7"/>
  <c r="I82" i="7" s="1"/>
  <c r="H59" i="7"/>
  <c r="I59" i="7" s="1"/>
  <c r="F40" i="7"/>
  <c r="H40" i="7" s="1"/>
  <c r="G19" i="4"/>
  <c r="G46" i="4"/>
  <c r="F19" i="4"/>
  <c r="H26" i="4"/>
  <c r="H25" i="4"/>
  <c r="H27" i="4"/>
  <c r="H28" i="4"/>
  <c r="H29" i="4"/>
  <c r="H18" i="4"/>
  <c r="I46" i="3" l="1"/>
  <c r="H46" i="3" l="1"/>
  <c r="I36" i="3" l="1"/>
  <c r="H36" i="3"/>
  <c r="H35" i="3"/>
  <c r="I35" i="3"/>
  <c r="H34" i="3"/>
  <c r="V15" i="3" l="1"/>
  <c r="W15" i="3"/>
  <c r="U13" i="3"/>
  <c r="T13" i="3"/>
  <c r="S13" i="3"/>
  <c r="R13" i="3"/>
  <c r="Q13" i="3"/>
  <c r="P13" i="3"/>
  <c r="O13" i="3"/>
  <c r="N13" i="3"/>
  <c r="M13" i="3"/>
  <c r="L13" i="3"/>
  <c r="W13" i="3" l="1"/>
  <c r="W14" i="3"/>
  <c r="W12" i="3"/>
  <c r="V13" i="3"/>
  <c r="V14" i="3"/>
  <c r="V12" i="3"/>
  <c r="C80" i="7" l="1"/>
  <c r="C72" i="4" s="1"/>
  <c r="B80" i="7"/>
  <c r="B72" i="4" s="1"/>
  <c r="E61" i="7"/>
  <c r="D61" i="7"/>
  <c r="C45" i="4"/>
  <c r="F54" i="7"/>
  <c r="H41" i="7"/>
  <c r="H27" i="7"/>
  <c r="A24" i="7"/>
  <c r="A31" i="7" s="1"/>
  <c r="A32" i="7" s="1"/>
  <c r="A33" i="7" l="1"/>
  <c r="A35" i="7" s="1"/>
  <c r="A36" i="7" s="1"/>
  <c r="A37" i="7" s="1"/>
  <c r="A38" i="7" s="1"/>
  <c r="A39" i="7" s="1"/>
  <c r="A34" i="7"/>
  <c r="F64" i="7"/>
  <c r="F73" i="7" s="1"/>
  <c r="F87" i="7" s="1"/>
  <c r="D26" i="7"/>
  <c r="H81" i="7"/>
  <c r="I81" i="7" s="1"/>
  <c r="H24" i="7"/>
  <c r="H32" i="7"/>
  <c r="I32" i="7" s="1"/>
  <c r="H34" i="7"/>
  <c r="I34" i="7" s="1"/>
  <c r="H36" i="7"/>
  <c r="H38" i="7"/>
  <c r="H46" i="7"/>
  <c r="H48" i="7"/>
  <c r="I48" i="7" s="1"/>
  <c r="H49" i="7"/>
  <c r="I49" i="7" s="1"/>
  <c r="H50" i="7"/>
  <c r="H51" i="7"/>
  <c r="I51" i="7" s="1"/>
  <c r="H52" i="7"/>
  <c r="H61" i="7"/>
  <c r="I58" i="7" s="1"/>
  <c r="H60" i="7"/>
  <c r="A45" i="7"/>
  <c r="H23" i="7"/>
  <c r="I23" i="7" s="1"/>
  <c r="E26" i="7"/>
  <c r="H25" i="7"/>
  <c r="I25" i="7" s="1"/>
  <c r="H31" i="7"/>
  <c r="H33" i="7"/>
  <c r="H35" i="7"/>
  <c r="I35" i="7" s="1"/>
  <c r="H37" i="7"/>
  <c r="H39" i="7"/>
  <c r="S14" i="3"/>
  <c r="R14" i="3"/>
  <c r="Q14" i="3"/>
  <c r="P14" i="3"/>
  <c r="O14" i="3"/>
  <c r="M14" i="3"/>
  <c r="L14" i="3"/>
  <c r="R12" i="3"/>
  <c r="Q12" i="3"/>
  <c r="P12" i="3"/>
  <c r="O12" i="3"/>
  <c r="N12" i="3"/>
  <c r="M12" i="3"/>
  <c r="L12" i="3"/>
  <c r="I61" i="7" l="1"/>
  <c r="I60" i="7"/>
  <c r="F91" i="7"/>
  <c r="I31" i="7"/>
  <c r="H26" i="7"/>
  <c r="I30" i="7"/>
  <c r="A47" i="7"/>
  <c r="A48" i="7" s="1"/>
  <c r="A49" i="7" s="1"/>
  <c r="A50" i="7" s="1"/>
  <c r="A46" i="7"/>
  <c r="F92" i="7" l="1"/>
  <c r="F94" i="7" s="1"/>
  <c r="I40" i="7"/>
  <c r="I22" i="7"/>
  <c r="I26" i="7"/>
  <c r="G84" i="7"/>
  <c r="G87" i="7" s="1"/>
  <c r="H80" i="7"/>
  <c r="A59" i="7"/>
  <c r="A51" i="7"/>
  <c r="A52" i="7" s="1"/>
  <c r="A53" i="7" s="1"/>
  <c r="E9" i="3" l="1"/>
  <c r="A60" i="7"/>
  <c r="A69" i="7"/>
  <c r="A78" i="7" s="1"/>
  <c r="A79" i="7" s="1"/>
  <c r="G92" i="7" l="1"/>
  <c r="A81" i="7"/>
  <c r="A80" i="7"/>
  <c r="L92" i="7" l="1"/>
  <c r="G94" i="7"/>
  <c r="L94" i="7" s="1"/>
  <c r="F9" i="3"/>
  <c r="A82" i="7"/>
  <c r="A83" i="7" s="1"/>
  <c r="A91" i="7"/>
  <c r="A120" i="7" l="1"/>
  <c r="A105" i="7"/>
  <c r="H126" i="6" l="1"/>
  <c r="H125" i="6"/>
  <c r="H124" i="6"/>
  <c r="F121" i="6"/>
  <c r="E121" i="6"/>
  <c r="D121" i="6"/>
  <c r="F118" i="6"/>
  <c r="E118" i="6"/>
  <c r="D118" i="6"/>
  <c r="F117" i="6"/>
  <c r="E117" i="6"/>
  <c r="D117" i="6"/>
  <c r="H116" i="6"/>
  <c r="F113" i="6"/>
  <c r="E113" i="6"/>
  <c r="D113" i="6"/>
  <c r="H103" i="6"/>
  <c r="H102" i="6"/>
  <c r="F101" i="6"/>
  <c r="E101" i="6"/>
  <c r="D101" i="6"/>
  <c r="H101" i="6" s="1"/>
  <c r="F100" i="6"/>
  <c r="F98" i="6"/>
  <c r="G96" i="6"/>
  <c r="H96" i="6" s="1"/>
  <c r="G95" i="6"/>
  <c r="H95" i="6" s="1"/>
  <c r="H94" i="6"/>
  <c r="G94" i="6"/>
  <c r="G88" i="6"/>
  <c r="G108" i="6" s="1"/>
  <c r="G131" i="6" s="1"/>
  <c r="F88" i="6"/>
  <c r="F108" i="6" s="1"/>
  <c r="F131" i="6" s="1"/>
  <c r="F137" i="6" s="1"/>
  <c r="E88" i="6"/>
  <c r="E108" i="6" s="1"/>
  <c r="D88" i="6"/>
  <c r="D108" i="6" s="1"/>
  <c r="H83" i="6"/>
  <c r="H82" i="6"/>
  <c r="H81" i="6"/>
  <c r="G80" i="6"/>
  <c r="F80" i="6"/>
  <c r="G78" i="6"/>
  <c r="F78" i="6"/>
  <c r="H73" i="6"/>
  <c r="G72" i="6"/>
  <c r="G87" i="6" s="1"/>
  <c r="G107" i="6" s="1"/>
  <c r="F72" i="6"/>
  <c r="F87" i="6" s="1"/>
  <c r="E72" i="6"/>
  <c r="E87" i="6" s="1"/>
  <c r="E107" i="6" s="1"/>
  <c r="E130" i="6" s="1"/>
  <c r="D72" i="6"/>
  <c r="D87" i="6" s="1"/>
  <c r="H68" i="6"/>
  <c r="H67" i="6"/>
  <c r="H66" i="6"/>
  <c r="G63" i="6"/>
  <c r="G65" i="6" s="1"/>
  <c r="F63" i="6"/>
  <c r="F65" i="6" s="1"/>
  <c r="H60" i="6"/>
  <c r="D60" i="6"/>
  <c r="E59" i="6"/>
  <c r="E63" i="6" s="1"/>
  <c r="E65" i="6" s="1"/>
  <c r="D59" i="6"/>
  <c r="D63" i="6" s="1"/>
  <c r="H57" i="6"/>
  <c r="H56" i="6"/>
  <c r="G54" i="6"/>
  <c r="G52" i="6"/>
  <c r="D51" i="6"/>
  <c r="H51" i="6" s="1"/>
  <c r="F50" i="6"/>
  <c r="E50" i="6"/>
  <c r="H50" i="6" s="1"/>
  <c r="F49" i="6"/>
  <c r="E49" i="6"/>
  <c r="E52" i="6" s="1"/>
  <c r="D49" i="6"/>
  <c r="F48" i="6"/>
  <c r="H48" i="6" s="1"/>
  <c r="F47" i="6"/>
  <c r="F54" i="6" s="1"/>
  <c r="G44" i="6"/>
  <c r="G74" i="6" s="1"/>
  <c r="G89" i="6" s="1"/>
  <c r="G109" i="6" s="1"/>
  <c r="F44" i="6"/>
  <c r="F74" i="6" s="1"/>
  <c r="F89" i="6" s="1"/>
  <c r="F109" i="6" s="1"/>
  <c r="F132" i="6" s="1"/>
  <c r="H43" i="6"/>
  <c r="H42" i="6"/>
  <c r="G41" i="6"/>
  <c r="F41" i="6"/>
  <c r="G39" i="6"/>
  <c r="F39" i="6"/>
  <c r="E38" i="6"/>
  <c r="D38" i="6"/>
  <c r="H38" i="6" s="1"/>
  <c r="H37" i="6"/>
  <c r="E36" i="6"/>
  <c r="D36" i="6"/>
  <c r="E35" i="6"/>
  <c r="E41" i="6" s="1"/>
  <c r="D35" i="6"/>
  <c r="E34" i="6"/>
  <c r="E44" i="6" s="1"/>
  <c r="E74" i="6" s="1"/>
  <c r="E89" i="6" s="1"/>
  <c r="E109" i="6" s="1"/>
  <c r="E132" i="6" s="1"/>
  <c r="D34" i="6"/>
  <c r="D44" i="6" s="1"/>
  <c r="H31" i="6"/>
  <c r="H30" i="6"/>
  <c r="H29" i="6"/>
  <c r="G28" i="6"/>
  <c r="F28" i="6"/>
  <c r="G26" i="6"/>
  <c r="F26" i="6"/>
  <c r="E25" i="6"/>
  <c r="E26" i="6" s="1"/>
  <c r="D25" i="6"/>
  <c r="H25" i="6" s="1"/>
  <c r="A25" i="6"/>
  <c r="A34" i="6" s="1"/>
  <c r="A35" i="6" s="1"/>
  <c r="A36" i="6" s="1"/>
  <c r="A37" i="6" s="1"/>
  <c r="A38" i="6" s="1"/>
  <c r="A47" i="6" s="1"/>
  <c r="A48" i="6" s="1"/>
  <c r="A49" i="6" s="1"/>
  <c r="A50" i="6" s="1"/>
  <c r="A51" i="6" s="1"/>
  <c r="A59" i="6" s="1"/>
  <c r="A60" i="6" s="1"/>
  <c r="A77" i="6" s="1"/>
  <c r="A92" i="6" s="1"/>
  <c r="A93" i="6" s="1"/>
  <c r="A94" i="6" s="1"/>
  <c r="A95" i="6" s="1"/>
  <c r="A96" i="6" s="1"/>
  <c r="A97" i="6" s="1"/>
  <c r="A111" i="6" s="1"/>
  <c r="A112" i="6" s="1"/>
  <c r="A120" i="6" s="1"/>
  <c r="A133" i="6" s="1"/>
  <c r="D24" i="6"/>
  <c r="D28" i="6" s="1"/>
  <c r="F71" i="6" l="1"/>
  <c r="F86" i="6" s="1"/>
  <c r="F106" i="6" s="1"/>
  <c r="F129" i="6" s="1"/>
  <c r="F141" i="6" s="1"/>
  <c r="E39" i="6"/>
  <c r="E131" i="6"/>
  <c r="G69" i="6"/>
  <c r="G84" i="6" s="1"/>
  <c r="D41" i="6"/>
  <c r="H36" i="6"/>
  <c r="H47" i="6"/>
  <c r="D54" i="6"/>
  <c r="F107" i="6"/>
  <c r="F130" i="6" s="1"/>
  <c r="F142" i="6" s="1"/>
  <c r="H118" i="6"/>
  <c r="F143" i="6"/>
  <c r="F135" i="6"/>
  <c r="E136" i="6"/>
  <c r="E142" i="6" s="1"/>
  <c r="F138" i="6"/>
  <c r="F144" i="6" s="1"/>
  <c r="G137" i="6"/>
  <c r="G143" i="6" s="1"/>
  <c r="E137" i="6"/>
  <c r="E143" i="6" s="1"/>
  <c r="E69" i="6"/>
  <c r="G71" i="6"/>
  <c r="G86" i="6" s="1"/>
  <c r="H44" i="6"/>
  <c r="D74" i="6"/>
  <c r="E138" i="6"/>
  <c r="E144" i="6" s="1"/>
  <c r="G138" i="6"/>
  <c r="G132" i="6"/>
  <c r="H52" i="6"/>
  <c r="H63" i="6"/>
  <c r="D65" i="6"/>
  <c r="H65" i="6" s="1"/>
  <c r="F136" i="6"/>
  <c r="D26" i="6"/>
  <c r="E28" i="6"/>
  <c r="H34" i="6"/>
  <c r="H35" i="6"/>
  <c r="H41" i="6" s="1"/>
  <c r="H49" i="6"/>
  <c r="D52" i="6"/>
  <c r="F52" i="6"/>
  <c r="F69" i="6" s="1"/>
  <c r="F84" i="6" s="1"/>
  <c r="F104" i="6" s="1"/>
  <c r="F127" i="6" s="1"/>
  <c r="E54" i="6"/>
  <c r="H54" i="6" s="1"/>
  <c r="H87" i="6"/>
  <c r="H72" i="6"/>
  <c r="G136" i="6"/>
  <c r="G130" i="6"/>
  <c r="G142" i="6" s="1"/>
  <c r="D107" i="6"/>
  <c r="H117" i="6"/>
  <c r="H24" i="6"/>
  <c r="D39" i="6"/>
  <c r="H59" i="6"/>
  <c r="D131" i="6"/>
  <c r="H108" i="6"/>
  <c r="H88" i="6"/>
  <c r="D137" i="6" l="1"/>
  <c r="H137" i="6" s="1"/>
  <c r="H131" i="6"/>
  <c r="D143" i="6"/>
  <c r="E71" i="6"/>
  <c r="F133" i="6"/>
  <c r="F139" i="6" s="1"/>
  <c r="H28" i="6"/>
  <c r="H26" i="6"/>
  <c r="D130" i="6"/>
  <c r="H107" i="6"/>
  <c r="H39" i="6"/>
  <c r="D69" i="6"/>
  <c r="G144" i="6"/>
  <c r="D89" i="6"/>
  <c r="H74" i="6"/>
  <c r="D71" i="6"/>
  <c r="H143" i="6" l="1"/>
  <c r="H71" i="6"/>
  <c r="D77" i="6"/>
  <c r="H89" i="6"/>
  <c r="D109" i="6"/>
  <c r="H69" i="6"/>
  <c r="E77" i="6"/>
  <c r="H130" i="6"/>
  <c r="D136" i="6"/>
  <c r="H136" i="6" s="1"/>
  <c r="D142" i="6" l="1"/>
  <c r="H142" i="6"/>
  <c r="E80" i="6"/>
  <c r="E86" i="6" s="1"/>
  <c r="E78" i="6"/>
  <c r="E84" i="6" s="1"/>
  <c r="H109" i="6"/>
  <c r="D132" i="6"/>
  <c r="D80" i="6"/>
  <c r="D78" i="6"/>
  <c r="H77" i="6"/>
  <c r="H78" i="6" l="1"/>
  <c r="D84" i="6"/>
  <c r="D138" i="6"/>
  <c r="H138" i="6" s="1"/>
  <c r="H132" i="6"/>
  <c r="H80" i="6"/>
  <c r="D86" i="6"/>
  <c r="E93" i="6"/>
  <c r="E92" i="6"/>
  <c r="E98" i="6" l="1"/>
  <c r="E104" i="6" s="1"/>
  <c r="E127" i="6" s="1"/>
  <c r="E100" i="6"/>
  <c r="E106" i="6" s="1"/>
  <c r="E129" i="6" s="1"/>
  <c r="D93" i="6"/>
  <c r="H93" i="6" s="1"/>
  <c r="D92" i="6"/>
  <c r="H86" i="6"/>
  <c r="H84" i="6"/>
  <c r="H144" i="6"/>
  <c r="D144" i="6"/>
  <c r="E135" i="6" l="1"/>
  <c r="E141" i="6" s="1"/>
  <c r="D100" i="6"/>
  <c r="D106" i="6" s="1"/>
  <c r="H92" i="6"/>
  <c r="D98" i="6"/>
  <c r="E133" i="6"/>
  <c r="E139" i="6" s="1"/>
  <c r="D104" i="6" l="1"/>
  <c r="D129" i="6"/>
  <c r="G97" i="6"/>
  <c r="H97" i="6" l="1"/>
  <c r="H100" i="6" s="1"/>
  <c r="G98" i="6"/>
  <c r="G100" i="6"/>
  <c r="G106" i="6" s="1"/>
  <c r="D135" i="6"/>
  <c r="D141" i="6"/>
  <c r="D127" i="6"/>
  <c r="D133" i="6" l="1"/>
  <c r="G104" i="6"/>
  <c r="H98" i="6"/>
  <c r="H106" i="6"/>
  <c r="G112" i="6" l="1"/>
  <c r="H112" i="6" s="1"/>
  <c r="G111" i="6"/>
  <c r="H104" i="6"/>
  <c r="G120" i="6" s="1"/>
  <c r="D139" i="6"/>
  <c r="G133" i="6" l="1"/>
  <c r="H133" i="6" s="1"/>
  <c r="G121" i="6"/>
  <c r="H120" i="6"/>
  <c r="H111" i="6"/>
  <c r="G115" i="6"/>
  <c r="G113" i="6"/>
  <c r="H115" i="6" l="1"/>
  <c r="G135" i="6"/>
  <c r="H135" i="6" s="1"/>
  <c r="H113" i="6"/>
  <c r="G127" i="6"/>
  <c r="G123" i="6"/>
  <c r="H123" i="6" s="1"/>
  <c r="H121" i="6"/>
  <c r="G129" i="6" l="1"/>
  <c r="G139" i="6"/>
  <c r="H139" i="6" s="1"/>
  <c r="G7" i="6" s="1"/>
  <c r="H127" i="6"/>
  <c r="G141" i="6" l="1"/>
  <c r="H141" i="6" s="1"/>
  <c r="H129" i="6"/>
  <c r="H75" i="4" l="1"/>
  <c r="A17" i="4"/>
  <c r="A18" i="4" s="1"/>
  <c r="A24" i="4" s="1"/>
  <c r="A25" i="4" s="1"/>
  <c r="A26" i="4" s="1"/>
  <c r="A27" i="4" s="1"/>
  <c r="A28" i="4" s="1"/>
  <c r="A29" i="4" s="1"/>
  <c r="H12" i="3"/>
  <c r="C11" i="3"/>
  <c r="H52" i="4" l="1"/>
  <c r="E12" i="3"/>
  <c r="I38" i="3" s="1"/>
  <c r="A30" i="4"/>
  <c r="A31" i="4" s="1"/>
  <c r="A32" i="4" s="1"/>
  <c r="A38" i="4"/>
  <c r="A40" i="4" s="1"/>
  <c r="F12" i="3"/>
  <c r="C12" i="3"/>
  <c r="C14" i="3" s="1"/>
  <c r="G12" i="3"/>
  <c r="D12" i="3"/>
  <c r="B13" i="3" s="1"/>
  <c r="A39" i="4" l="1"/>
  <c r="A41" i="4" s="1"/>
  <c r="A42" i="4" s="1"/>
  <c r="A43" i="4" s="1"/>
  <c r="C16" i="3"/>
  <c r="A44" i="4" l="1"/>
  <c r="A45" i="4" s="1"/>
  <c r="A51" i="4"/>
  <c r="A52" i="4" s="1"/>
  <c r="C17" i="3"/>
  <c r="F46" i="4"/>
  <c r="G33" i="4"/>
  <c r="H31" i="4" l="1"/>
  <c r="H32" i="4"/>
  <c r="H30" i="4"/>
  <c r="A61" i="4"/>
  <c r="A70" i="4" s="1"/>
  <c r="A71" i="4" s="1"/>
  <c r="A73" i="4" s="1"/>
  <c r="A83" i="4" s="1"/>
  <c r="E54" i="7"/>
  <c r="H40" i="4"/>
  <c r="H45" i="7"/>
  <c r="I45" i="7" s="1"/>
  <c r="H73" i="4"/>
  <c r="F53" i="4"/>
  <c r="H11" i="3"/>
  <c r="G53" i="4"/>
  <c r="G56" i="4" s="1"/>
  <c r="G65" i="4" s="1"/>
  <c r="E53" i="4"/>
  <c r="D53" i="4"/>
  <c r="H17" i="4"/>
  <c r="H44" i="4"/>
  <c r="H45" i="4"/>
  <c r="H43" i="4"/>
  <c r="H41" i="4"/>
  <c r="H42" i="4"/>
  <c r="H39" i="4"/>
  <c r="F33" i="4"/>
  <c r="E33" i="4"/>
  <c r="D33" i="4"/>
  <c r="E19" i="4"/>
  <c r="D19" i="4"/>
  <c r="H16" i="4"/>
  <c r="F56" i="4" l="1"/>
  <c r="F65" i="4" s="1"/>
  <c r="A72" i="4"/>
  <c r="H14" i="3"/>
  <c r="H16" i="3" s="1"/>
  <c r="A74" i="4"/>
  <c r="A75" i="4" s="1"/>
  <c r="D46" i="4"/>
  <c r="D56" i="4" s="1"/>
  <c r="H47" i="7"/>
  <c r="I47" i="7" s="1"/>
  <c r="D54" i="7"/>
  <c r="D64" i="7" s="1"/>
  <c r="D69" i="7" s="1"/>
  <c r="E64" i="7"/>
  <c r="E69" i="7" s="1"/>
  <c r="A87" i="4"/>
  <c r="H74" i="4"/>
  <c r="G76" i="4"/>
  <c r="H72" i="4"/>
  <c r="H51" i="4"/>
  <c r="H53" i="4"/>
  <c r="E46" i="4"/>
  <c r="H38" i="4"/>
  <c r="H33" i="4"/>
  <c r="H19" i="4"/>
  <c r="E70" i="7" l="1"/>
  <c r="E73" i="7" s="1"/>
  <c r="E78" i="7" s="1"/>
  <c r="D70" i="7"/>
  <c r="D73" i="7" s="1"/>
  <c r="H69" i="7"/>
  <c r="I69" i="7" s="1"/>
  <c r="F79" i="4"/>
  <c r="F83" i="4" s="1"/>
  <c r="F84" i="4" s="1"/>
  <c r="G79" i="4"/>
  <c r="G84" i="4" s="1"/>
  <c r="E56" i="4"/>
  <c r="E61" i="4" s="1"/>
  <c r="E62" i="4" s="1"/>
  <c r="H46" i="4"/>
  <c r="H17" i="3"/>
  <c r="H32" i="3"/>
  <c r="H54" i="7"/>
  <c r="H64" i="7"/>
  <c r="D61" i="4"/>
  <c r="D62" i="4" s="1"/>
  <c r="D65" i="4" s="1"/>
  <c r="E11" i="3"/>
  <c r="E79" i="7" l="1"/>
  <c r="D79" i="7"/>
  <c r="D78" i="7"/>
  <c r="D71" i="4"/>
  <c r="D70" i="4"/>
  <c r="E65" i="4"/>
  <c r="H62" i="4"/>
  <c r="E14" i="3"/>
  <c r="E16" i="3" s="1"/>
  <c r="I64" i="7"/>
  <c r="H56" i="4"/>
  <c r="I44" i="7"/>
  <c r="I54" i="7"/>
  <c r="H61" i="4"/>
  <c r="I61" i="4" s="1"/>
  <c r="H65" i="4" l="1"/>
  <c r="E70" i="4"/>
  <c r="H70" i="4" s="1"/>
  <c r="E71" i="4"/>
  <c r="E17" i="3"/>
  <c r="E32" i="3"/>
  <c r="H79" i="7"/>
  <c r="I79" i="7" s="1"/>
  <c r="D84" i="7"/>
  <c r="D87" i="7" s="1"/>
  <c r="D91" i="7" s="1"/>
  <c r="E84" i="7"/>
  <c r="E87" i="7" s="1"/>
  <c r="H78" i="7"/>
  <c r="I78" i="7" s="1"/>
  <c r="H70" i="7"/>
  <c r="D92" i="7" l="1"/>
  <c r="I70" i="4"/>
  <c r="I70" i="7"/>
  <c r="E91" i="7"/>
  <c r="E92" i="7" s="1"/>
  <c r="E94" i="7" s="1"/>
  <c r="I62" i="4"/>
  <c r="E76" i="4"/>
  <c r="H71" i="4"/>
  <c r="I71" i="4" s="1"/>
  <c r="E79" i="4"/>
  <c r="E83" i="4" s="1"/>
  <c r="E84" i="4" s="1"/>
  <c r="D76" i="4"/>
  <c r="H84" i="7"/>
  <c r="H73" i="7"/>
  <c r="I73" i="7" s="1"/>
  <c r="H91" i="7" l="1"/>
  <c r="D94" i="7"/>
  <c r="D9" i="3"/>
  <c r="H92" i="7"/>
  <c r="H76" i="4"/>
  <c r="I76" i="4" s="1"/>
  <c r="D79" i="4"/>
  <c r="D83" i="4" s="1"/>
  <c r="I84" i="7"/>
  <c r="I77" i="7"/>
  <c r="H87" i="7"/>
  <c r="J87" i="7" s="1"/>
  <c r="H79" i="4" l="1"/>
  <c r="I79" i="4" s="1"/>
  <c r="I92" i="7"/>
  <c r="I91" i="7"/>
  <c r="I87" i="7"/>
  <c r="D84" i="4"/>
  <c r="H83" i="4"/>
  <c r="H84" i="4" l="1"/>
  <c r="I84" i="4" s="1"/>
  <c r="H94" i="7"/>
  <c r="D11" i="3"/>
  <c r="D14" i="3" l="1"/>
  <c r="D16" i="3" s="1"/>
  <c r="D17" i="3" l="1"/>
  <c r="D32" i="3"/>
  <c r="I9" i="3" l="1"/>
  <c r="J9" i="3" s="1"/>
  <c r="G9" i="3"/>
  <c r="G11" i="3" s="1"/>
  <c r="G14" i="3" s="1"/>
  <c r="F11" i="3" l="1"/>
  <c r="I11" i="3" s="1"/>
  <c r="J11" i="3" s="1"/>
  <c r="L96" i="7" l="1"/>
  <c r="N96" i="7"/>
  <c r="M97" i="7"/>
  <c r="L98" i="7"/>
  <c r="N98" i="7"/>
  <c r="M99" i="7"/>
  <c r="L100" i="7"/>
  <c r="N100" i="7"/>
  <c r="M101" i="7"/>
  <c r="N95" i="7"/>
  <c r="L95" i="7"/>
  <c r="K97" i="7"/>
  <c r="K99" i="7"/>
  <c r="K101" i="7"/>
  <c r="M96" i="7"/>
  <c r="L97" i="7"/>
  <c r="N97" i="7"/>
  <c r="M98" i="7"/>
  <c r="L99" i="7"/>
  <c r="N99" i="7"/>
  <c r="M100" i="7"/>
  <c r="L101" i="7"/>
  <c r="N101" i="7"/>
  <c r="M95" i="7"/>
  <c r="F95" i="7" s="1"/>
  <c r="K96" i="7"/>
  <c r="K98" i="7"/>
  <c r="K100" i="7"/>
  <c r="K95" i="7"/>
  <c r="G16" i="3"/>
  <c r="F14" i="3"/>
  <c r="I14" i="3" s="1"/>
  <c r="E95" i="7" l="1"/>
  <c r="E96" i="7" s="1"/>
  <c r="E97" i="7" s="1"/>
  <c r="G95" i="7"/>
  <c r="G96" i="7" s="1"/>
  <c r="D95" i="7"/>
  <c r="D96" i="7" s="1"/>
  <c r="D97" i="7" s="1"/>
  <c r="D98" i="7" s="1"/>
  <c r="D99" i="7" s="1"/>
  <c r="D100" i="7" s="1"/>
  <c r="D101" i="7" s="1"/>
  <c r="F96" i="7"/>
  <c r="F97" i="7" s="1"/>
  <c r="F98" i="7" s="1"/>
  <c r="F99" i="7" s="1"/>
  <c r="F100" i="7" s="1"/>
  <c r="F101" i="7" s="1"/>
  <c r="F102" i="7" s="1"/>
  <c r="F105" i="7" s="1"/>
  <c r="F107" i="7" s="1"/>
  <c r="K108" i="7"/>
  <c r="M108" i="7"/>
  <c r="N108" i="7"/>
  <c r="L108" i="7"/>
  <c r="J19" i="3"/>
  <c r="G32" i="3"/>
  <c r="F16" i="3"/>
  <c r="G17" i="3"/>
  <c r="E98" i="7" l="1"/>
  <c r="E99" i="7" s="1"/>
  <c r="E100" i="7" s="1"/>
  <c r="E101" i="7" s="1"/>
  <c r="E102" i="7" s="1"/>
  <c r="E105" i="7" s="1"/>
  <c r="E107" i="7" s="1"/>
  <c r="G97" i="7"/>
  <c r="G98" i="7" s="1"/>
  <c r="G99" i="7" s="1"/>
  <c r="G100" i="7" s="1"/>
  <c r="G101" i="7" s="1"/>
  <c r="G102" i="7" s="1"/>
  <c r="G105" i="7" s="1"/>
  <c r="G107" i="7" s="1"/>
  <c r="H95" i="7"/>
  <c r="F17" i="3"/>
  <c r="I17" i="3" s="1"/>
  <c r="I37" i="3" s="1"/>
  <c r="I16" i="3"/>
  <c r="I95" i="7" l="1"/>
  <c r="H37" i="3"/>
  <c r="H39" i="3" s="1"/>
  <c r="J17" i="3"/>
  <c r="H96" i="7"/>
  <c r="H40" i="3"/>
  <c r="I96" i="7" l="1"/>
  <c r="H97" i="7"/>
  <c r="I44" i="3"/>
  <c r="K44" i="3" s="1"/>
  <c r="H44" i="3"/>
  <c r="G44" i="3" s="1"/>
  <c r="I97" i="7" l="1"/>
  <c r="H98" i="7"/>
  <c r="I98" i="7" l="1"/>
  <c r="H99" i="7"/>
  <c r="I99" i="7" l="1"/>
  <c r="H100" i="7"/>
  <c r="I100" i="7" l="1"/>
  <c r="D102" i="7"/>
  <c r="H101" i="7"/>
  <c r="I101" i="7" s="1"/>
  <c r="D105" i="7" l="1"/>
  <c r="D107" i="7" s="1"/>
  <c r="H102" i="7"/>
  <c r="B27" i="4"/>
  <c r="B45" i="4"/>
  <c r="B39" i="4"/>
  <c r="C18" i="4"/>
  <c r="H105" i="7" l="1"/>
  <c r="H107" i="7" s="1"/>
  <c r="I102" i="7"/>
</calcChain>
</file>

<file path=xl/sharedStrings.xml><?xml version="1.0" encoding="utf-8"?>
<sst xmlns="http://schemas.openxmlformats.org/spreadsheetml/2006/main" count="426" uniqueCount="218">
  <si>
    <t>тыс.руб.</t>
  </si>
  <si>
    <t>(наименование стройки)</t>
  </si>
  <si>
    <t xml:space="preserve">СОСТАВЛЕН В ЦЕНАХ НА 01.01.2000Г. </t>
  </si>
  <si>
    <t>N п.п.</t>
  </si>
  <si>
    <t>Номера сметных расчетов и смет</t>
  </si>
  <si>
    <t>Наименование глав, объектов, работ и затрат</t>
  </si>
  <si>
    <t>Сметная стоимость</t>
  </si>
  <si>
    <t>Общая сметная стоимость</t>
  </si>
  <si>
    <t>строительных работ</t>
  </si>
  <si>
    <t>монтажных работ</t>
  </si>
  <si>
    <t>оборудования, мебели и инвентаря</t>
  </si>
  <si>
    <t>прочих затрат</t>
  </si>
  <si>
    <t>ГЛАВА 1. Подготовка территории строительства</t>
  </si>
  <si>
    <t>ВСЕГО ПО ГЛАВЕ</t>
  </si>
  <si>
    <t>ГЛАВА 2. Основные объекты строительства</t>
  </si>
  <si>
    <t>ГЛАВА 5. Объекты транспортного хозяйства и связи</t>
  </si>
  <si>
    <t xml:space="preserve">ЛСР 05-01-01 </t>
  </si>
  <si>
    <t>ЛСР 05-03-01</t>
  </si>
  <si>
    <t>ЛСР 05-05-01</t>
  </si>
  <si>
    <t>ЛСР 05-07-01</t>
  </si>
  <si>
    <t>ГЛАВА 7. Благоустройство и озеленение территории</t>
  </si>
  <si>
    <t>ЛСР 07-03-01</t>
  </si>
  <si>
    <t>ИТОГО ПО ГЛАВАМ 1-7</t>
  </si>
  <si>
    <t>ГЛАВА 8. Временные здания и сооружения</t>
  </si>
  <si>
    <t>ГСН81-05-01-2001 п.2.6</t>
  </si>
  <si>
    <t>Временные здания и сооружения - 3,9%*0,8=3,12% ПС 110/35/6 кВ</t>
  </si>
  <si>
    <t>ИТОГО ПО ГЛАВАМ 1-8</t>
  </si>
  <si>
    <t>ГЛАВА 9. Прочие работы и затраты</t>
  </si>
  <si>
    <t>ГСН-81-05-02-2007 п.2.4</t>
  </si>
  <si>
    <t>ГСН 81-05-02-2007 т.2</t>
  </si>
  <si>
    <t>Снегоборьба - 0,4% ПС 110/35/6 кВ</t>
  </si>
  <si>
    <t>ЛСР 09-02-01</t>
  </si>
  <si>
    <t>Письмо Госкомтруда СССР и Госстрой СССР от 10.01.91г. №1336-ВК/1-Д</t>
  </si>
  <si>
    <t>Затраты, связанные с премированием за ввод в действие построенных объектов - 2,75% ПС 110/35/6 кВ</t>
  </si>
  <si>
    <t>ИТОГО ПО ГЛАВАМ 1-9</t>
  </si>
  <si>
    <t>ГЛАВА 10. Содержание службы заказчика. Строительный контроль</t>
  </si>
  <si>
    <t>Исходные данные Заказчика  Письмо АО "Тюменьэнерго" №ЛР-6112 от 01.11.2016</t>
  </si>
  <si>
    <t xml:space="preserve">МДС 81.35-2004 прил.№ 8  </t>
  </si>
  <si>
    <t>Авторский надзор (0,2%)</t>
  </si>
  <si>
    <t>ИТОГО ПО ГЛАВАМ 1-12</t>
  </si>
  <si>
    <t>МДС81-35.2004</t>
  </si>
  <si>
    <t>в том числе:</t>
  </si>
  <si>
    <t xml:space="preserve">Расчет стоимости  по  титулу: </t>
  </si>
  <si>
    <t>№п/п</t>
  </si>
  <si>
    <t>Наименование</t>
  </si>
  <si>
    <t xml:space="preserve">ПИР </t>
  </si>
  <si>
    <t>СМР</t>
  </si>
  <si>
    <t>оборудование</t>
  </si>
  <si>
    <t xml:space="preserve">прочие </t>
  </si>
  <si>
    <t>Итого</t>
  </si>
  <si>
    <t>Показатель</t>
  </si>
  <si>
    <t>2014 г.</t>
  </si>
  <si>
    <t>2015 г.</t>
  </si>
  <si>
    <t>2016 г.</t>
  </si>
  <si>
    <t>2017 г.</t>
  </si>
  <si>
    <t xml:space="preserve">2018 г. </t>
  </si>
  <si>
    <t>всего</t>
  </si>
  <si>
    <t>в том числе</t>
  </si>
  <si>
    <t>прочие в т.ч.</t>
  </si>
  <si>
    <t>ПНР в т.ч.</t>
  </si>
  <si>
    <t>Стоимость строительства в базисных ценах на 01.01.2000 г. для освоения, в том числе:</t>
  </si>
  <si>
    <t>и далее</t>
  </si>
  <si>
    <t>Индексы изменения сметной стоимости 4 кв. 2012 г. по письму Минрегиона России от 03.12.2012 №2836-ИП/12/ГС</t>
  </si>
  <si>
    <t>Коэффициент снижения   инвестиционных затрат</t>
  </si>
  <si>
    <t xml:space="preserve">Стоимость строительства в ценах  4 кв. 2012 г. </t>
  </si>
  <si>
    <t>Плановая стоимость объекта в прогнозных ценах года окончания строительства</t>
  </si>
  <si>
    <t>Коэффициент снижения инвестиционных затрат, соответствующий году ввода объекта в эксплуатацию (2019 г.)</t>
  </si>
  <si>
    <t>Плановая стоимость объекта с учетом снижения инвестиционных затрат без учета НДС-18%</t>
  </si>
  <si>
    <t>Плановая стоимость объекта с учетом снижения инвестиционных затрат с учетом НДС-18%</t>
  </si>
  <si>
    <t xml:space="preserve">                    Должность</t>
  </si>
  <si>
    <t>ФИО</t>
  </si>
  <si>
    <t xml:space="preserve">Согласовано: Начальник ОКС </t>
  </si>
  <si>
    <t>Приложение №1</t>
  </si>
  <si>
    <t>к договору подряда №__________</t>
  </si>
  <si>
    <t>от"___" ______________201_ г.</t>
  </si>
  <si>
    <t>СВОДНАЯ ТАБЛИЦА СТОИМОСТИ РАБОТ</t>
  </si>
  <si>
    <t>(в соотвествии со сводным сметным расчетом)</t>
  </si>
  <si>
    <t>руб.</t>
  </si>
  <si>
    <t>ВСЕГО ПО ГЛАВЕ 1</t>
  </si>
  <si>
    <t>ВСЕГО ПО ГЛАВЕ 2</t>
  </si>
  <si>
    <t>ВСЕГО ПО ГЛАВЕ 5</t>
  </si>
  <si>
    <t>ВСЕГО ПО ГЛАВЕ 8</t>
  </si>
  <si>
    <t>ВСЕГО ПО ГЛАВЕ 9</t>
  </si>
  <si>
    <t xml:space="preserve">ВСЕГО по Сводной таблице </t>
  </si>
  <si>
    <t xml:space="preserve">Прогноз Минэкономразвития РФ </t>
  </si>
  <si>
    <t>Перевод в цены 2013 г. И = 1,06</t>
  </si>
  <si>
    <t>Перевод в цены 2014 г. И = 1,049</t>
  </si>
  <si>
    <t>Перевод в цены 2015 г. И = 1,143</t>
  </si>
  <si>
    <t>Перевод в цены 2017 г. И = 1,081</t>
  </si>
  <si>
    <t>Перевод в цены 2017 г. И = 1,054</t>
  </si>
  <si>
    <t>Перевод в цены 2018 г. И = 1,044</t>
  </si>
  <si>
    <t>Перевод в цены 2019 г. И = 1,046</t>
  </si>
  <si>
    <t>Налоги и обязательные платежи</t>
  </si>
  <si>
    <t>Налог на добавленную стоимость   НДС  18%</t>
  </si>
  <si>
    <t xml:space="preserve">                   ( должность)</t>
  </si>
  <si>
    <t>(ФИО)</t>
  </si>
  <si>
    <t>Д. И. Суржко</t>
  </si>
  <si>
    <t xml:space="preserve">              ( должность)</t>
  </si>
  <si>
    <t>Письмо Минстроя от _____ № ____</t>
  </si>
  <si>
    <t xml:space="preserve">Итого по сводной таблице в текущих ценах: Ксмр=……; Кобор.=……..; Кпроч.=……..Кпнр=……; </t>
  </si>
  <si>
    <t>х</t>
  </si>
  <si>
    <t>НДС 18%</t>
  </si>
  <si>
    <t>Всего по сводной таблице в текущих ценах с НДС-18%</t>
  </si>
  <si>
    <t>Заказчик:</t>
  </si>
  <si>
    <t>Подрядчик:</t>
  </si>
  <si>
    <t>АО "Тюменьэнерго"</t>
  </si>
  <si>
    <t xml:space="preserve">ЛСР 01-03-01 </t>
  </si>
  <si>
    <t>Форма N 1</t>
  </si>
  <si>
    <t>Заказчик</t>
  </si>
  <si>
    <t>филиал АО "Тюменьэнерго" Нефтеюганские электрические сети"</t>
  </si>
  <si>
    <t>(наименование организации)</t>
  </si>
  <si>
    <t>Утвержден "____"_______________ 200   г.</t>
  </si>
  <si>
    <t/>
  </si>
  <si>
    <t>Сводный сметный расчет в сумме</t>
  </si>
  <si>
    <t>(ссылка на документ об утверждении)</t>
  </si>
  <si>
    <t>"____"_______________ 200   г.</t>
  </si>
  <si>
    <t>СВОДНЫЙ СМЕТНЫЙ РАСЧЕТ СТОИМОСТИ СТРОИТЕЛЬСТВА</t>
  </si>
  <si>
    <t xml:space="preserve">ОС 01-01      </t>
  </si>
  <si>
    <t>Подготовка территории строительства</t>
  </si>
  <si>
    <t>ЛСР 01-03-01</t>
  </si>
  <si>
    <t>Демонтажные работы. Система электроснабжения</t>
  </si>
  <si>
    <t>ПС 110 кВ Горноправдинская</t>
  </si>
  <si>
    <t>Смежная ПС Батово</t>
  </si>
  <si>
    <t>ВЛ-10 кВ</t>
  </si>
  <si>
    <t>ВОЛС</t>
  </si>
  <si>
    <t>ЛСР 02-03-01</t>
  </si>
  <si>
    <t>Подвеска ВОЛС</t>
  </si>
  <si>
    <t xml:space="preserve">ЛСР 02-04-01 </t>
  </si>
  <si>
    <t>Архитектурно-строительные решения</t>
  </si>
  <si>
    <t>ОС 02-05</t>
  </si>
  <si>
    <t>Приобретение и монтаж оборудования КТПБ</t>
  </si>
  <si>
    <t xml:space="preserve">ЛСР 02-06-01 </t>
  </si>
  <si>
    <t>Приобретение и монтаж оборудования РЗиА. Вторичная коммутация оборудования.ОПУ</t>
  </si>
  <si>
    <t>ОС 02-07</t>
  </si>
  <si>
    <t>Кабельное хозяйство</t>
  </si>
  <si>
    <t>АИИС КУЭ</t>
  </si>
  <si>
    <t>Средства охранного телевидения</t>
  </si>
  <si>
    <t>ЛСР 05-04-01</t>
  </si>
  <si>
    <t>Средства периметральной охранной сигнализации</t>
  </si>
  <si>
    <t>Средства связи</t>
  </si>
  <si>
    <t>Внутриплощадочные проезды и подъездная дорога</t>
  </si>
  <si>
    <t>ЛСР 07-01-01</t>
  </si>
  <si>
    <t>Наружное освещение</t>
  </si>
  <si>
    <t>Покрытие площадки</t>
  </si>
  <si>
    <t>Временные здания и сооружения - 3,9%*0,8=3,12% ПС 110 кВ</t>
  </si>
  <si>
    <t>Производство работ в зимнее время - 4,3%*1,1=4,73%  ПС 110 кВ</t>
  </si>
  <si>
    <t>Снегоборьба - 0,4% ПС 110 кВ</t>
  </si>
  <si>
    <t>Пусконаладочные работы  КТПБ</t>
  </si>
  <si>
    <t>Расчет №3</t>
  </si>
  <si>
    <t>Ежедневная перевозка рабочих</t>
  </si>
  <si>
    <t>Расчет №4</t>
  </si>
  <si>
    <t>Вахтовая доставка</t>
  </si>
  <si>
    <t>Содержание дирекции (технического надзора) строящегося предприятия ПС 110 кВ 4,4%</t>
  </si>
  <si>
    <t>Строительный контроль ПС 110 кВ 1.81%, в том числе</t>
  </si>
  <si>
    <t>ГЛАВА 12. Публичный технологический и ценовой аудит, проектные и изыскательские работы</t>
  </si>
  <si>
    <t>НЕПРЕДВИДЕННЫЕ РАБОТЫ И ЗАТРАТЫ-3%</t>
  </si>
  <si>
    <t>ВСЕГО ПО СМЕТЕ</t>
  </si>
  <si>
    <t>Составлен ООО "Таврида Электрик Омск"</t>
  </si>
  <si>
    <t>Начальник проектного отдела</t>
  </si>
  <si>
    <t>П.В. Осипов</t>
  </si>
  <si>
    <t>Главный инженер проекта</t>
  </si>
  <si>
    <t>В.А. Приймак</t>
  </si>
  <si>
    <t>Инженер сметчик</t>
  </si>
  <si>
    <t>А.С. Губская</t>
  </si>
  <si>
    <t>Директор филиала АО «Тюменьэнерго» Нефтеюганские электрические сети</t>
  </si>
  <si>
    <t>И.И. Ясковец</t>
  </si>
  <si>
    <t>ЛСР 02-06-01</t>
  </si>
  <si>
    <t>АИИС КУЭ 2 этап</t>
  </si>
  <si>
    <t>Пусконаладочные работы</t>
  </si>
  <si>
    <t>Сроки строительства: 2018 - 2019 г.г.</t>
  </si>
  <si>
    <t>Непредвиденные работы и затраты - 1,5%</t>
  </si>
  <si>
    <t>до 02.2018</t>
  </si>
  <si>
    <t>старые</t>
  </si>
  <si>
    <t>с 02.2018</t>
  </si>
  <si>
    <t xml:space="preserve">Индексы-дефляторы Минэкономразвития от 2012 г. до года ввода объекта в эксплуатацию (2019 г.) </t>
  </si>
  <si>
    <t>Составлена в ценах по состоянию на 01.01.2000 / в прогнозных ценах года окончания строительства (2019 г.)</t>
  </si>
  <si>
    <t xml:space="preserve">Составлена в ценах по состоянию на 01.01.2000 / в текущих ценах </t>
  </si>
  <si>
    <t>УТВЕРЖДАЮ:</t>
  </si>
  <si>
    <t>Директор филиала АО "Тюменьэнерго" Нефтеюганские электрические сети</t>
  </si>
  <si>
    <t xml:space="preserve">____________________ И. И. Ясковец </t>
  </si>
  <si>
    <t>"_______"______________ 2018г.</t>
  </si>
  <si>
    <t>ПРЕДВАРИТЕЛЬНЫЙ РАСЧЕТ СТОИМОСТИ СТРОИТЕЛЬСТВА</t>
  </si>
  <si>
    <t>ВСЕГО по расчету в ценах 2000 г. (ФЕР) с непредвиденными затратами</t>
  </si>
  <si>
    <t>А. В. Корнилов</t>
  </si>
  <si>
    <t>Всего по расчету в ценах на  2019 г. с НДС-18%</t>
  </si>
  <si>
    <t>Итого в ценах года окончания работ 2019 г. без НДС:</t>
  </si>
  <si>
    <r>
      <t xml:space="preserve">Итого в ценах 4 кв. 2012 г.: </t>
    </r>
    <r>
      <rPr>
        <sz val="10"/>
        <color indexed="8"/>
        <rFont val="Times New Roman"/>
        <family val="1"/>
        <charset val="204"/>
      </rPr>
      <t>СМР = 7,1; обор = 3,82; проч = 7,53, ПНР = 15,97</t>
    </r>
  </si>
  <si>
    <t>Письмо Минрегиона РФ от 03.12.2012 № 2836-ИП/12/ГС</t>
  </si>
  <si>
    <t>очень старые</t>
  </si>
  <si>
    <t>2019 г.</t>
  </si>
  <si>
    <t>2013 г.</t>
  </si>
  <si>
    <t>2018 г.</t>
  </si>
  <si>
    <t>2020 г.</t>
  </si>
  <si>
    <t>2021 г.</t>
  </si>
  <si>
    <t>2022 г.</t>
  </si>
  <si>
    <t xml:space="preserve">Составил: Ведущий инженер ОКС </t>
  </si>
  <si>
    <t>аренда</t>
  </si>
  <si>
    <t>без НДС</t>
  </si>
  <si>
    <t>с НДС</t>
  </si>
  <si>
    <t>По ИПР</t>
  </si>
  <si>
    <t>Расчет № 3</t>
  </si>
  <si>
    <t>Расчет № 4</t>
  </si>
  <si>
    <t>тыс. руб.</t>
  </si>
  <si>
    <t>ОС 01-01</t>
  </si>
  <si>
    <t>Приобретение и монтаж оборудования РЗиА. Вторичная коммутация оборудования. ОПУ</t>
  </si>
  <si>
    <t>ВСЕГО ПО ГЛАВЕ 7</t>
  </si>
  <si>
    <t>ГСН 81-05-01-2001 п. 2.1, прил. 1 п. 2.6</t>
  </si>
  <si>
    <t>ГСН 81-05-02-2007 табл. 2</t>
  </si>
  <si>
    <t>ГСН-81-05-02-2007 табл. 4 п. 2.4, прил. 1 п. 84б</t>
  </si>
  <si>
    <t>Производство работ в зимнее время - 4,3% * 1,1 = 4,73% ПС 110/35/6 кВ</t>
  </si>
  <si>
    <t>ПИР по договору (заключен)</t>
  </si>
  <si>
    <t>СМР 1-й этап по договору (заключен)</t>
  </si>
  <si>
    <t>СМР 2-й этап (план)</t>
  </si>
  <si>
    <t>Оборудование ЦТЗ (план)</t>
  </si>
  <si>
    <t>ЗЗ (план)</t>
  </si>
  <si>
    <t>СК (план)</t>
  </si>
  <si>
    <t>"Реконструкция ПС 110 кВ Горноправдинская с заменой оборудования ОРУ 110 кВ, ОРУ 10 кВ и установкой здания ОПУ" (2 этап реконструкции)</t>
  </si>
  <si>
    <t>"Реконструкция ПС 110 кВ Горноправдинская с заменой оборудования ОРУ 110 кВ, ОРУ 10 кВ и установкой здания ОПУ" 
(2 этап реконструкции)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</si>
</sst>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00"/>
    <numFmt numFmtId="165" formatCode="0.000"/>
    <numFmt numFmtId="166" formatCode="_-* #,##0.000\ _₽_-;\-* #,##0.000\ _₽_-;_-* &quot;-&quot;???\ _₽_-;_-@_-"/>
    <numFmt numFmtId="167" formatCode="0.00000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0_р_."/>
    <numFmt numFmtId="171" formatCode="_-* #,##0.000\ _₽_-;\-* #,##0.000\ _₽_-;_-* &quot;-&quot;??\ _₽_-;_-@_-"/>
    <numFmt numFmtId="172" formatCode="0.00000000000"/>
  </numFmts>
  <fonts count="34" x14ac:knownFonts="1">
    <font>
      <sz val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D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rgb="FFC0C0C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1" fillId="0" borderId="0"/>
    <xf numFmtId="168" fontId="5" fillId="0" borderId="0" applyFont="0" applyFill="0" applyBorder="0" applyAlignment="0" applyProtection="0"/>
    <xf numFmtId="0" fontId="5" fillId="0" borderId="0"/>
    <xf numFmtId="0" fontId="6" fillId="0" borderId="0"/>
    <xf numFmtId="169" fontId="5" fillId="0" borderId="0" applyFont="0" applyFill="0" applyBorder="0" applyAlignment="0" applyProtection="0"/>
    <xf numFmtId="0" fontId="6" fillId="0" borderId="0"/>
  </cellStyleXfs>
  <cellXfs count="307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49" fontId="2" fillId="0" borderId="3" xfId="1" applyNumberFormat="1" applyFont="1" applyFill="1" applyBorder="1" applyAlignment="1">
      <alignment horizontal="left" vertical="top" wrapText="1"/>
    </xf>
    <xf numFmtId="166" fontId="3" fillId="0" borderId="3" xfId="0" applyNumberFormat="1" applyFont="1" applyFill="1" applyBorder="1" applyAlignment="1">
      <alignment vertical="top" wrapText="1"/>
    </xf>
    <xf numFmtId="166" fontId="2" fillId="0" borderId="0" xfId="0" applyNumberFormat="1" applyFont="1" applyFill="1" applyAlignment="1">
      <alignment vertical="top"/>
    </xf>
    <xf numFmtId="0" fontId="7" fillId="0" borderId="0" xfId="1" applyFont="1"/>
    <xf numFmtId="0" fontId="9" fillId="0" borderId="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justify" vertical="center" wrapText="1"/>
    </xf>
    <xf numFmtId="4" fontId="8" fillId="0" borderId="3" xfId="1" applyNumberFormat="1" applyFont="1" applyBorder="1" applyAlignment="1">
      <alignment horizontal="center" vertical="center" wrapText="1"/>
    </xf>
    <xf numFmtId="4" fontId="8" fillId="0" borderId="4" xfId="1" applyNumberFormat="1" applyFont="1" applyBorder="1" applyAlignment="1">
      <alignment horizontal="center" vertical="center" wrapText="1"/>
    </xf>
    <xf numFmtId="4" fontId="9" fillId="0" borderId="3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167" fontId="12" fillId="0" borderId="12" xfId="1" applyNumberFormat="1" applyFont="1" applyBorder="1" applyAlignment="1">
      <alignment horizontal="left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vertical="center" wrapText="1"/>
    </xf>
    <xf numFmtId="4" fontId="8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justify" vertical="center" wrapText="1"/>
    </xf>
    <xf numFmtId="4" fontId="7" fillId="0" borderId="3" xfId="1" applyNumberFormat="1" applyFont="1" applyBorder="1" applyAlignment="1">
      <alignment horizontal="center" vertical="center" wrapText="1"/>
    </xf>
    <xf numFmtId="4" fontId="13" fillId="0" borderId="3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top"/>
    </xf>
    <xf numFmtId="0" fontId="9" fillId="0" borderId="14" xfId="3" applyFont="1" applyFill="1" applyBorder="1"/>
    <xf numFmtId="0" fontId="9" fillId="0" borderId="14" xfId="1" applyFont="1" applyBorder="1" applyAlignment="1">
      <alignment horizontal="left" vertical="top"/>
    </xf>
    <xf numFmtId="0" fontId="9" fillId="0" borderId="14" xfId="3" applyFont="1" applyFill="1" applyBorder="1" applyAlignment="1"/>
    <xf numFmtId="0" fontId="9" fillId="0" borderId="0" xfId="3" applyFont="1" applyFill="1" applyBorder="1" applyAlignment="1"/>
    <xf numFmtId="0" fontId="9" fillId="0" borderId="0" xfId="1" applyFont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right" vertical="top"/>
    </xf>
    <xf numFmtId="0" fontId="14" fillId="0" borderId="0" xfId="3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/>
    <xf numFmtId="49" fontId="16" fillId="0" borderId="0" xfId="0" applyNumberFormat="1" applyFont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2" fillId="0" borderId="0" xfId="0" applyFont="1" applyBorder="1"/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3" xfId="0" applyFont="1" applyFill="1" applyBorder="1" applyAlignment="1"/>
    <xf numFmtId="0" fontId="4" fillId="0" borderId="3" xfId="0" applyFont="1" applyFill="1" applyBorder="1" applyAlignment="1"/>
    <xf numFmtId="0" fontId="4" fillId="0" borderId="3" xfId="0" applyFont="1" applyFill="1" applyBorder="1" applyAlignment="1">
      <alignment wrapText="1"/>
    </xf>
    <xf numFmtId="4" fontId="2" fillId="0" borderId="3" xfId="0" applyNumberFormat="1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vertical="top"/>
    </xf>
    <xf numFmtId="4" fontId="3" fillId="0" borderId="3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wrapText="1"/>
    </xf>
    <xf numFmtId="2" fontId="2" fillId="0" borderId="0" xfId="0" applyNumberFormat="1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0" fontId="2" fillId="0" borderId="15" xfId="0" applyFont="1" applyFill="1" applyBorder="1" applyAlignment="1">
      <alignment vertical="top"/>
    </xf>
    <xf numFmtId="4" fontId="2" fillId="0" borderId="15" xfId="0" applyNumberFormat="1" applyFont="1" applyFill="1" applyBorder="1" applyAlignment="1">
      <alignment vertical="top"/>
    </xf>
    <xf numFmtId="0" fontId="18" fillId="0" borderId="3" xfId="0" applyFont="1" applyFill="1" applyBorder="1" applyAlignment="1">
      <alignment horizontal="center" vertical="top"/>
    </xf>
    <xf numFmtId="4" fontId="19" fillId="0" borderId="3" xfId="0" applyNumberFormat="1" applyFont="1" applyFill="1" applyBorder="1" applyAlignment="1">
      <alignment vertical="top" wrapText="1"/>
    </xf>
    <xf numFmtId="4" fontId="0" fillId="0" borderId="15" xfId="0" applyNumberFormat="1" applyFill="1" applyBorder="1" applyAlignment="1">
      <alignment vertical="top"/>
    </xf>
    <xf numFmtId="0" fontId="2" fillId="0" borderId="0" xfId="5" applyFont="1" applyFill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4" fontId="3" fillId="0" borderId="5" xfId="0" applyNumberFormat="1" applyFont="1" applyFill="1" applyBorder="1" applyAlignment="1">
      <alignment vertical="top"/>
    </xf>
    <xf numFmtId="0" fontId="22" fillId="0" borderId="0" xfId="5" applyFont="1" applyFill="1" applyAlignment="1">
      <alignment vertical="top"/>
    </xf>
    <xf numFmtId="49" fontId="18" fillId="0" borderId="3" xfId="0" applyNumberFormat="1" applyFont="1" applyFill="1" applyBorder="1" applyAlignment="1">
      <alignment horizontal="left" vertical="top"/>
    </xf>
    <xf numFmtId="0" fontId="18" fillId="0" borderId="3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2" fontId="6" fillId="0" borderId="0" xfId="0" applyNumberFormat="1" applyFont="1" applyFill="1" applyBorder="1" applyAlignment="1">
      <alignment horizontal="left" vertical="top"/>
    </xf>
    <xf numFmtId="2" fontId="6" fillId="0" borderId="0" xfId="0" applyNumberFormat="1" applyFont="1" applyFill="1" applyBorder="1" applyAlignment="1">
      <alignment horizontal="center" vertical="top"/>
    </xf>
    <xf numFmtId="2" fontId="6" fillId="0" borderId="15" xfId="0" applyNumberFormat="1" applyFont="1" applyFill="1" applyBorder="1" applyAlignment="1">
      <alignment horizontal="left" vertical="top"/>
    </xf>
    <xf numFmtId="0" fontId="6" fillId="0" borderId="0" xfId="0" applyFont="1" applyFill="1" applyAlignment="1">
      <alignment vertical="top"/>
    </xf>
    <xf numFmtId="0" fontId="2" fillId="0" borderId="0" xfId="0" applyFont="1" applyAlignment="1">
      <alignment horizontal="right" vertical="top"/>
    </xf>
    <xf numFmtId="0" fontId="15" fillId="0" borderId="0" xfId="0" applyFont="1"/>
    <xf numFmtId="4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right" vertical="top"/>
    </xf>
    <xf numFmtId="0" fontId="19" fillId="0" borderId="3" xfId="0" applyFont="1" applyBorder="1" applyAlignment="1">
      <alignment horizontal="center" vertical="top"/>
    </xf>
    <xf numFmtId="49" fontId="19" fillId="0" borderId="3" xfId="0" applyNumberFormat="1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164" fontId="24" fillId="0" borderId="3" xfId="0" applyNumberFormat="1" applyFont="1" applyFill="1" applyBorder="1" applyAlignment="1">
      <alignment horizontal="center" vertical="center"/>
    </xf>
    <xf numFmtId="164" fontId="24" fillId="0" borderId="4" xfId="0" applyNumberFormat="1" applyFont="1" applyFill="1" applyBorder="1" applyAlignment="1">
      <alignment horizontal="center" vertical="center"/>
    </xf>
    <xf numFmtId="169" fontId="2" fillId="0" borderId="15" xfId="0" applyNumberFormat="1" applyFont="1" applyBorder="1"/>
    <xf numFmtId="169" fontId="2" fillId="0" borderId="0" xfId="0" applyNumberFormat="1" applyFont="1" applyBorder="1" applyAlignment="1">
      <alignment vertical="top" wrapText="1"/>
    </xf>
    <xf numFmtId="2" fontId="2" fillId="0" borderId="0" xfId="0" applyNumberFormat="1" applyFont="1"/>
    <xf numFmtId="49" fontId="19" fillId="0" borderId="3" xfId="0" applyNumberFormat="1" applyFont="1" applyBorder="1" applyAlignment="1">
      <alignment horizontal="left" vertical="top"/>
    </xf>
    <xf numFmtId="0" fontId="25" fillId="0" borderId="3" xfId="0" applyFont="1" applyBorder="1" applyAlignment="1">
      <alignment horizontal="left" vertical="top" wrapText="1"/>
    </xf>
    <xf numFmtId="164" fontId="26" fillId="0" borderId="3" xfId="0" applyNumberFormat="1" applyFont="1" applyFill="1" applyBorder="1" applyAlignment="1">
      <alignment horizontal="center" vertical="center"/>
    </xf>
    <xf numFmtId="164" fontId="26" fillId="0" borderId="4" xfId="0" applyNumberFormat="1" applyFont="1" applyFill="1" applyBorder="1" applyAlignment="1">
      <alignment horizontal="center" vertical="center"/>
    </xf>
    <xf numFmtId="169" fontId="2" fillId="0" borderId="15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2" fontId="2" fillId="0" borderId="0" xfId="0" applyNumberFormat="1" applyFont="1" applyBorder="1"/>
    <xf numFmtId="0" fontId="27" fillId="0" borderId="3" xfId="0" applyFont="1" applyBorder="1" applyAlignment="1">
      <alignment horizontal="center" vertical="top"/>
    </xf>
    <xf numFmtId="49" fontId="27" fillId="0" borderId="3" xfId="0" applyNumberFormat="1" applyFont="1" applyBorder="1" applyAlignment="1">
      <alignment horizontal="left" vertical="top"/>
    </xf>
    <xf numFmtId="169" fontId="3" fillId="0" borderId="0" xfId="0" applyNumberFormat="1" applyFont="1" applyBorder="1" applyAlignment="1">
      <alignment vertical="top"/>
    </xf>
    <xf numFmtId="0" fontId="3" fillId="0" borderId="0" xfId="0" applyFont="1" applyBorder="1"/>
    <xf numFmtId="0" fontId="3" fillId="0" borderId="0" xfId="0" applyFont="1"/>
    <xf numFmtId="0" fontId="2" fillId="0" borderId="0" xfId="0" applyFont="1" applyFill="1" applyBorder="1" applyAlignment="1">
      <alignment horizontal="left" vertical="top"/>
    </xf>
    <xf numFmtId="2" fontId="2" fillId="0" borderId="0" xfId="0" applyNumberFormat="1" applyFont="1" applyFill="1" applyBorder="1" applyAlignment="1">
      <alignment horizontal="left" vertical="top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49" fontId="3" fillId="0" borderId="0" xfId="0" applyNumberFormat="1" applyFont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3" fontId="2" fillId="0" borderId="3" xfId="0" applyNumberFormat="1" applyFont="1" applyFill="1" applyBorder="1" applyAlignment="1">
      <alignment vertical="top" wrapText="1"/>
    </xf>
    <xf numFmtId="43" fontId="2" fillId="0" borderId="3" xfId="0" applyNumberFormat="1" applyFont="1" applyFill="1" applyBorder="1" applyAlignment="1">
      <alignment vertical="top"/>
    </xf>
    <xf numFmtId="0" fontId="2" fillId="2" borderId="0" xfId="6" applyFont="1" applyFill="1" applyAlignment="1">
      <alignment vertical="center"/>
    </xf>
    <xf numFmtId="0" fontId="2" fillId="2" borderId="0" xfId="6" applyFont="1" applyFill="1" applyAlignment="1">
      <alignment horizontal="right" vertical="center"/>
    </xf>
    <xf numFmtId="0" fontId="2" fillId="0" borderId="0" xfId="6" applyFont="1" applyFill="1" applyAlignment="1">
      <alignment vertical="center"/>
    </xf>
    <xf numFmtId="0" fontId="2" fillId="2" borderId="0" xfId="6" applyFont="1" applyFill="1" applyAlignment="1"/>
    <xf numFmtId="0" fontId="2" fillId="2" borderId="0" xfId="6" applyFont="1" applyFill="1" applyAlignment="1">
      <alignment horizontal="center" vertical="center" wrapText="1"/>
    </xf>
    <xf numFmtId="49" fontId="2" fillId="2" borderId="0" xfId="6" applyNumberFormat="1" applyFont="1" applyFill="1" applyAlignment="1">
      <alignment vertical="center"/>
    </xf>
    <xf numFmtId="0" fontId="2" fillId="2" borderId="16" xfId="6" applyFont="1" applyFill="1" applyBorder="1" applyAlignment="1">
      <alignment vertical="center"/>
    </xf>
    <xf numFmtId="165" fontId="2" fillId="2" borderId="16" xfId="6" applyNumberFormat="1" applyFont="1" applyFill="1" applyBorder="1" applyAlignment="1">
      <alignment vertical="center"/>
    </xf>
    <xf numFmtId="0" fontId="2" fillId="2" borderId="16" xfId="6" applyFont="1" applyFill="1" applyBorder="1" applyAlignment="1">
      <alignment horizontal="right"/>
    </xf>
    <xf numFmtId="0" fontId="2" fillId="2" borderId="0" xfId="6" applyFont="1" applyFill="1" applyAlignment="1">
      <alignment horizontal="left" vertical="center"/>
    </xf>
    <xf numFmtId="0" fontId="28" fillId="2" borderId="0" xfId="6" applyFont="1" applyFill="1" applyAlignment="1"/>
    <xf numFmtId="0" fontId="2" fillId="2" borderId="0" xfId="6" applyFont="1" applyFill="1" applyAlignment="1">
      <alignment horizontal="left" vertical="center" wrapText="1"/>
    </xf>
    <xf numFmtId="0" fontId="2" fillId="2" borderId="0" xfId="6" applyFont="1" applyFill="1" applyAlignment="1">
      <alignment horizontal="right"/>
    </xf>
    <xf numFmtId="0" fontId="2" fillId="2" borderId="0" xfId="6" applyFont="1" applyFill="1" applyAlignment="1">
      <alignment horizontal="center" vertical="center"/>
    </xf>
    <xf numFmtId="0" fontId="2" fillId="0" borderId="0" xfId="6" applyFont="1" applyFill="1" applyAlignment="1">
      <alignment horizontal="center" vertical="center"/>
    </xf>
    <xf numFmtId="0" fontId="3" fillId="2" borderId="3" xfId="6" applyFont="1" applyFill="1" applyBorder="1" applyAlignment="1">
      <alignment horizontal="center" vertical="center" wrapText="1"/>
    </xf>
    <xf numFmtId="0" fontId="2" fillId="2" borderId="0" xfId="6" applyFont="1" applyFill="1"/>
    <xf numFmtId="0" fontId="2" fillId="0" borderId="0" xfId="6" applyFont="1" applyFill="1"/>
    <xf numFmtId="0" fontId="2" fillId="2" borderId="3" xfId="6" applyFont="1" applyFill="1" applyBorder="1" applyAlignment="1">
      <alignment horizontal="center" vertical="top" wrapText="1"/>
    </xf>
    <xf numFmtId="4" fontId="2" fillId="2" borderId="3" xfId="6" applyNumberFormat="1" applyFont="1" applyFill="1" applyBorder="1" applyAlignment="1">
      <alignment horizontal="right" vertical="top" wrapText="1"/>
    </xf>
    <xf numFmtId="4" fontId="2" fillId="2" borderId="3" xfId="6" applyNumberFormat="1" applyFont="1" applyFill="1" applyBorder="1" applyAlignment="1">
      <alignment horizontal="center" vertical="top"/>
    </xf>
    <xf numFmtId="4" fontId="2" fillId="2" borderId="3" xfId="6" applyNumberFormat="1" applyFont="1" applyFill="1" applyBorder="1" applyAlignment="1">
      <alignment horizontal="right" vertical="top"/>
    </xf>
    <xf numFmtId="0" fontId="2" fillId="2" borderId="0" xfId="6" applyFont="1" applyFill="1" applyAlignment="1">
      <alignment vertical="top"/>
    </xf>
    <xf numFmtId="0" fontId="2" fillId="0" borderId="0" xfId="6" applyFont="1" applyFill="1" applyAlignment="1">
      <alignment vertical="top"/>
    </xf>
    <xf numFmtId="0" fontId="3" fillId="2" borderId="3" xfId="6" applyFont="1" applyFill="1" applyBorder="1" applyAlignment="1">
      <alignment horizontal="center" vertical="top" wrapText="1"/>
    </xf>
    <xf numFmtId="0" fontId="3" fillId="2" borderId="3" xfId="6" applyFont="1" applyFill="1" applyBorder="1" applyAlignment="1">
      <alignment horizontal="left" vertical="top" wrapText="1"/>
    </xf>
    <xf numFmtId="4" fontId="3" fillId="2" borderId="3" xfId="6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left" vertical="top" wrapText="1"/>
    </xf>
    <xf numFmtId="2" fontId="2" fillId="2" borderId="3" xfId="1" applyNumberFormat="1" applyFont="1" applyFill="1" applyBorder="1" applyAlignment="1">
      <alignment horizontal="right" vertical="top" wrapText="1"/>
    </xf>
    <xf numFmtId="2" fontId="2" fillId="2" borderId="3" xfId="6" applyNumberFormat="1" applyFont="1" applyFill="1" applyBorder="1" applyAlignment="1">
      <alignment horizontal="center" vertical="top"/>
    </xf>
    <xf numFmtId="2" fontId="2" fillId="2" borderId="3" xfId="6" applyNumberFormat="1" applyFont="1" applyFill="1" applyBorder="1" applyAlignment="1">
      <alignment horizontal="right" vertical="top"/>
    </xf>
    <xf numFmtId="2" fontId="2" fillId="2" borderId="3" xfId="1" applyNumberFormat="1" applyFont="1" applyFill="1" applyBorder="1" applyAlignment="1">
      <alignment horizontal="right" vertical="top"/>
    </xf>
    <xf numFmtId="2" fontId="3" fillId="2" borderId="3" xfId="6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right" vertical="top"/>
    </xf>
    <xf numFmtId="2" fontId="2" fillId="2" borderId="3" xfId="1" applyNumberFormat="1" applyFont="1" applyFill="1" applyBorder="1" applyAlignment="1">
      <alignment vertical="top" wrapText="1"/>
    </xf>
    <xf numFmtId="0" fontId="2" fillId="2" borderId="3" xfId="1" applyFont="1" applyFill="1" applyBorder="1" applyAlignment="1">
      <alignment horizontal="right" vertical="top" wrapText="1"/>
    </xf>
    <xf numFmtId="164" fontId="3" fillId="2" borderId="3" xfId="6" applyNumberFormat="1" applyFont="1" applyFill="1" applyBorder="1" applyAlignment="1">
      <alignment horizontal="center" vertical="center" wrapText="1"/>
    </xf>
    <xf numFmtId="0" fontId="2" fillId="2" borderId="3" xfId="6" applyFont="1" applyFill="1" applyBorder="1" applyAlignment="1">
      <alignment horizontal="center" wrapText="1"/>
    </xf>
    <xf numFmtId="4" fontId="2" fillId="2" borderId="3" xfId="6" applyNumberFormat="1" applyFont="1" applyFill="1" applyBorder="1" applyAlignment="1">
      <alignment horizontal="center" vertical="top" wrapText="1"/>
    </xf>
    <xf numFmtId="164" fontId="2" fillId="2" borderId="3" xfId="6" applyNumberFormat="1" applyFont="1" applyFill="1" applyBorder="1" applyAlignment="1">
      <alignment horizontal="center" vertical="top" wrapText="1"/>
    </xf>
    <xf numFmtId="164" fontId="2" fillId="2" borderId="3" xfId="6" applyNumberFormat="1" applyFont="1" applyFill="1" applyBorder="1" applyAlignment="1">
      <alignment horizontal="center" vertical="top"/>
    </xf>
    <xf numFmtId="0" fontId="2" fillId="2" borderId="17" xfId="6" applyFont="1" applyFill="1" applyBorder="1" applyAlignment="1">
      <alignment horizontal="left" vertical="top" wrapText="1"/>
    </xf>
    <xf numFmtId="0" fontId="2" fillId="2" borderId="1" xfId="6" applyFont="1" applyFill="1" applyBorder="1" applyAlignment="1">
      <alignment horizontal="left" vertical="top" wrapText="1"/>
    </xf>
    <xf numFmtId="0" fontId="2" fillId="2" borderId="18" xfId="6" applyFont="1" applyFill="1" applyBorder="1" applyAlignment="1">
      <alignment horizontal="left" vertical="top" wrapText="1"/>
    </xf>
    <xf numFmtId="0" fontId="6" fillId="2" borderId="0" xfId="6" applyFill="1"/>
    <xf numFmtId="0" fontId="6" fillId="0" borderId="0" xfId="6"/>
    <xf numFmtId="0" fontId="2" fillId="2" borderId="19" xfId="6" applyFont="1" applyFill="1" applyBorder="1"/>
    <xf numFmtId="0" fontId="2" fillId="2" borderId="0" xfId="6" applyFont="1" applyFill="1" applyAlignment="1">
      <alignment wrapText="1"/>
    </xf>
    <xf numFmtId="0" fontId="2" fillId="2" borderId="3" xfId="6" applyFont="1" applyFill="1" applyBorder="1" applyAlignment="1">
      <alignment horizontal="left" vertical="top" wrapText="1"/>
    </xf>
    <xf numFmtId="0" fontId="2" fillId="2" borderId="3" xfId="6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3" fillId="0" borderId="3" xfId="0" applyNumberFormat="1" applyFont="1" applyFill="1" applyBorder="1" applyAlignment="1">
      <alignment vertical="top" wrapText="1"/>
    </xf>
    <xf numFmtId="164" fontId="3" fillId="0" borderId="4" xfId="0" applyNumberFormat="1" applyFont="1" applyFill="1" applyBorder="1" applyAlignment="1">
      <alignment vertical="top" wrapText="1"/>
    </xf>
    <xf numFmtId="0" fontId="2" fillId="0" borderId="3" xfId="1" applyNumberFormat="1" applyFont="1" applyFill="1" applyBorder="1" applyAlignment="1">
      <alignment horizontal="left" vertical="top" wrapText="1"/>
    </xf>
    <xf numFmtId="164" fontId="20" fillId="0" borderId="6" xfId="2" applyNumberFormat="1" applyFont="1" applyBorder="1" applyAlignment="1">
      <alignment horizontal="center" vertical="center"/>
    </xf>
    <xf numFmtId="164" fontId="20" fillId="0" borderId="3" xfId="2" applyNumberFormat="1" applyFont="1" applyBorder="1" applyAlignment="1">
      <alignment horizontal="center" vertical="center"/>
    </xf>
    <xf numFmtId="164" fontId="2" fillId="0" borderId="3" xfId="2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0" fontId="14" fillId="0" borderId="0" xfId="3" applyFont="1" applyFill="1" applyBorder="1" applyAlignment="1">
      <alignment horizontal="left" vertical="top"/>
    </xf>
    <xf numFmtId="0" fontId="8" fillId="0" borderId="1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70" fontId="29" fillId="0" borderId="0" xfId="0" applyNumberFormat="1" applyFont="1" applyFill="1" applyBorder="1" applyAlignment="1">
      <alignment horizontal="center"/>
    </xf>
    <xf numFmtId="0" fontId="25" fillId="0" borderId="0" xfId="0" applyFont="1" applyFill="1"/>
    <xf numFmtId="170" fontId="5" fillId="0" borderId="0" xfId="0" applyNumberFormat="1" applyFont="1" applyFill="1" applyBorder="1" applyAlignment="1">
      <alignment horizontal="center"/>
    </xf>
    <xf numFmtId="0" fontId="20" fillId="0" borderId="0" xfId="0" applyFont="1" applyFill="1"/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vertical="top"/>
    </xf>
    <xf numFmtId="0" fontId="21" fillId="0" borderId="9" xfId="0" applyFont="1" applyBorder="1" applyAlignment="1">
      <alignment vertical="top"/>
    </xf>
    <xf numFmtId="164" fontId="19" fillId="0" borderId="3" xfId="5" applyNumberFormat="1" applyFont="1" applyFill="1" applyBorder="1" applyAlignment="1">
      <alignment vertical="top"/>
    </xf>
    <xf numFmtId="164" fontId="19" fillId="0" borderId="3" xfId="0" applyNumberFormat="1" applyFont="1" applyBorder="1" applyAlignment="1">
      <alignment vertical="top"/>
    </xf>
    <xf numFmtId="167" fontId="6" fillId="0" borderId="0" xfId="0" applyNumberFormat="1" applyFont="1" applyFill="1" applyAlignment="1">
      <alignment vertical="top"/>
    </xf>
    <xf numFmtId="0" fontId="2" fillId="0" borderId="0" xfId="1" applyFont="1"/>
    <xf numFmtId="0" fontId="13" fillId="0" borderId="0" xfId="1" applyFont="1" applyAlignment="1">
      <alignment horizontal="center" vertical="center" wrapText="1"/>
    </xf>
    <xf numFmtId="0" fontId="2" fillId="0" borderId="0" xfId="2" applyFont="1"/>
    <xf numFmtId="0" fontId="2" fillId="0" borderId="3" xfId="0" applyFont="1" applyBorder="1" applyAlignment="1">
      <alignment horizontal="right" vertical="center"/>
    </xf>
    <xf numFmtId="167" fontId="2" fillId="0" borderId="0" xfId="1" applyNumberFormat="1" applyFont="1" applyAlignment="1">
      <alignment vertical="center"/>
    </xf>
    <xf numFmtId="0" fontId="20" fillId="0" borderId="6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1" applyFont="1" applyFill="1"/>
    <xf numFmtId="0" fontId="2" fillId="3" borderId="3" xfId="0" applyFont="1" applyFill="1" applyBorder="1" applyAlignment="1">
      <alignment horizontal="right" vertical="center"/>
    </xf>
    <xf numFmtId="0" fontId="20" fillId="0" borderId="6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/>
    <xf numFmtId="4" fontId="2" fillId="0" borderId="0" xfId="1" applyNumberFormat="1" applyFont="1"/>
    <xf numFmtId="167" fontId="2" fillId="0" borderId="0" xfId="1" applyNumberFormat="1" applyFont="1"/>
    <xf numFmtId="0" fontId="30" fillId="0" borderId="0" xfId="1" applyFont="1"/>
    <xf numFmtId="4" fontId="31" fillId="0" borderId="0" xfId="1" applyNumberFormat="1" applyFont="1"/>
    <xf numFmtId="0" fontId="9" fillId="0" borderId="0" xfId="1" applyFont="1"/>
    <xf numFmtId="0" fontId="2" fillId="0" borderId="0" xfId="2" applyFont="1" applyFill="1" applyBorder="1"/>
    <xf numFmtId="0" fontId="2" fillId="0" borderId="0" xfId="2" applyFont="1" applyFill="1" applyBorder="1" applyAlignment="1">
      <alignment vertical="top"/>
    </xf>
    <xf numFmtId="168" fontId="2" fillId="0" borderId="0" xfId="4" applyFont="1" applyFill="1" applyBorder="1" applyAlignment="1">
      <alignment vertical="top"/>
    </xf>
    <xf numFmtId="0" fontId="9" fillId="0" borderId="0" xfId="2" applyFont="1" applyFill="1" applyBorder="1"/>
    <xf numFmtId="0" fontId="9" fillId="0" borderId="14" xfId="2" applyFont="1" applyFill="1" applyBorder="1" applyAlignment="1">
      <alignment vertical="top"/>
    </xf>
    <xf numFmtId="168" fontId="9" fillId="0" borderId="0" xfId="4" applyFont="1" applyFill="1" applyBorder="1" applyAlignment="1">
      <alignment vertical="top"/>
    </xf>
    <xf numFmtId="0" fontId="9" fillId="0" borderId="0" xfId="2" applyFont="1" applyFill="1" applyBorder="1" applyAlignment="1">
      <alignment vertical="top"/>
    </xf>
    <xf numFmtId="0" fontId="2" fillId="0" borderId="0" xfId="1" applyFont="1" applyAlignment="1">
      <alignment horizont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171" fontId="2" fillId="0" borderId="3" xfId="0" applyNumberFormat="1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171" fontId="2" fillId="0" borderId="3" xfId="0" applyNumberFormat="1" applyFont="1" applyFill="1" applyBorder="1" applyAlignment="1">
      <alignment vertical="top"/>
    </xf>
    <xf numFmtId="4" fontId="19" fillId="0" borderId="0" xfId="0" applyNumberFormat="1" applyFont="1" applyFill="1" applyAlignment="1">
      <alignment vertical="top"/>
    </xf>
    <xf numFmtId="0" fontId="15" fillId="0" borderId="0" xfId="0" applyFont="1" applyAlignment="1">
      <alignment vertical="top"/>
    </xf>
    <xf numFmtId="3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15" fillId="0" borderId="15" xfId="0" applyFont="1" applyBorder="1" applyAlignment="1">
      <alignment vertical="top"/>
    </xf>
    <xf numFmtId="0" fontId="32" fillId="0" borderId="3" xfId="0" applyFont="1" applyFill="1" applyBorder="1" applyAlignment="1">
      <alignment horizontal="left" vertical="top" wrapText="1"/>
    </xf>
    <xf numFmtId="166" fontId="32" fillId="0" borderId="3" xfId="0" applyNumberFormat="1" applyFont="1" applyFill="1" applyBorder="1" applyAlignment="1">
      <alignment vertical="top" wrapText="1"/>
    </xf>
    <xf numFmtId="0" fontId="20" fillId="0" borderId="3" xfId="0" applyFont="1" applyFill="1" applyBorder="1" applyAlignment="1">
      <alignment horizontal="left" vertical="top" wrapText="1"/>
    </xf>
    <xf numFmtId="4" fontId="32" fillId="0" borderId="3" xfId="0" applyNumberFormat="1" applyFont="1" applyFill="1" applyBorder="1" applyAlignment="1">
      <alignment vertical="top" wrapText="1"/>
    </xf>
    <xf numFmtId="171" fontId="20" fillId="0" borderId="3" xfId="0" applyNumberFormat="1" applyFont="1" applyFill="1" applyBorder="1" applyAlignment="1">
      <alignment vertical="top"/>
    </xf>
    <xf numFmtId="4" fontId="20" fillId="0" borderId="3" xfId="0" applyNumberFormat="1" applyFont="1" applyFill="1" applyBorder="1" applyAlignment="1">
      <alignment vertical="top" wrapText="1"/>
    </xf>
    <xf numFmtId="166" fontId="2" fillId="0" borderId="15" xfId="0" applyNumberFormat="1" applyFont="1" applyFill="1" applyBorder="1" applyAlignment="1">
      <alignment vertical="top"/>
    </xf>
    <xf numFmtId="164" fontId="18" fillId="0" borderId="3" xfId="0" applyNumberFormat="1" applyFont="1" applyFill="1" applyBorder="1" applyAlignment="1">
      <alignment horizontal="right" vertical="top"/>
    </xf>
    <xf numFmtId="164" fontId="2" fillId="0" borderId="4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/>
    </xf>
    <xf numFmtId="164" fontId="3" fillId="0" borderId="4" xfId="0" applyNumberFormat="1" applyFont="1" applyFill="1" applyBorder="1" applyAlignment="1">
      <alignment horizontal="right" vertical="top"/>
    </xf>
    <xf numFmtId="164" fontId="18" fillId="0" borderId="4" xfId="0" applyNumberFormat="1" applyFont="1" applyFill="1" applyBorder="1" applyAlignment="1">
      <alignment horizontal="right" vertical="top"/>
    </xf>
    <xf numFmtId="43" fontId="3" fillId="0" borderId="3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/>
    </xf>
    <xf numFmtId="4" fontId="3" fillId="0" borderId="5" xfId="0" applyNumberFormat="1" applyFont="1" applyFill="1" applyBorder="1" applyAlignment="1">
      <alignment vertical="top" wrapText="1"/>
    </xf>
    <xf numFmtId="4" fontId="3" fillId="0" borderId="6" xfId="0" applyNumberFormat="1" applyFont="1" applyFill="1" applyBorder="1" applyAlignment="1">
      <alignment vertical="top" wrapText="1"/>
    </xf>
    <xf numFmtId="0" fontId="20" fillId="0" borderId="3" xfId="0" applyFont="1" applyBorder="1" applyAlignment="1">
      <alignment horizontal="right" vertical="top"/>
    </xf>
    <xf numFmtId="0" fontId="20" fillId="0" borderId="3" xfId="0" applyFont="1" applyBorder="1" applyAlignment="1">
      <alignment horizontal="right" vertical="center" wrapText="1"/>
    </xf>
    <xf numFmtId="172" fontId="2" fillId="0" borderId="0" xfId="1" applyNumberFormat="1" applyFont="1"/>
    <xf numFmtId="3" fontId="2" fillId="0" borderId="0" xfId="1" applyNumberFormat="1" applyFont="1"/>
    <xf numFmtId="2" fontId="2" fillId="0" borderId="0" xfId="1" applyNumberFormat="1" applyFont="1"/>
    <xf numFmtId="43" fontId="32" fillId="0" borderId="3" xfId="0" applyNumberFormat="1" applyFont="1" applyFill="1" applyBorder="1" applyAlignment="1">
      <alignment vertical="top" wrapText="1"/>
    </xf>
    <xf numFmtId="0" fontId="33" fillId="0" borderId="3" xfId="0" applyFont="1" applyFill="1" applyBorder="1" applyAlignment="1">
      <alignment horizontal="center" vertical="center" wrapText="1"/>
    </xf>
    <xf numFmtId="10" fontId="2" fillId="0" borderId="0" xfId="1" applyNumberFormat="1" applyFont="1"/>
    <xf numFmtId="0" fontId="2" fillId="0" borderId="3" xfId="0" applyFont="1" applyFill="1" applyBorder="1" applyAlignment="1">
      <alignment horizontal="left" vertical="top" wrapText="1"/>
    </xf>
    <xf numFmtId="164" fontId="2" fillId="0" borderId="0" xfId="0" applyNumberFormat="1" applyFont="1" applyFill="1" applyAlignment="1">
      <alignment vertical="top"/>
    </xf>
    <xf numFmtId="0" fontId="2" fillId="0" borderId="3" xfId="0" applyFont="1" applyFill="1" applyBorder="1" applyAlignment="1">
      <alignment horizontal="center" vertical="center" wrapText="1"/>
    </xf>
    <xf numFmtId="164" fontId="18" fillId="5" borderId="3" xfId="0" applyNumberFormat="1" applyFont="1" applyFill="1" applyBorder="1" applyAlignment="1">
      <alignment horizontal="right" vertical="top"/>
    </xf>
    <xf numFmtId="164" fontId="0" fillId="0" borderId="15" xfId="0" applyNumberFormat="1" applyFill="1" applyBorder="1" applyAlignment="1">
      <alignment vertical="top"/>
    </xf>
    <xf numFmtId="0" fontId="4" fillId="2" borderId="4" xfId="6" applyFont="1" applyFill="1" applyBorder="1" applyAlignment="1">
      <alignment horizontal="center" wrapText="1"/>
    </xf>
    <xf numFmtId="0" fontId="4" fillId="2" borderId="5" xfId="6" applyFont="1" applyFill="1" applyBorder="1" applyAlignment="1">
      <alignment horizontal="center" wrapText="1"/>
    </xf>
    <xf numFmtId="0" fontId="4" fillId="2" borderId="6" xfId="6" applyFont="1" applyFill="1" applyBorder="1" applyAlignment="1">
      <alignment horizontal="center" wrapText="1"/>
    </xf>
    <xf numFmtId="0" fontId="2" fillId="2" borderId="3" xfId="6" applyFont="1" applyFill="1" applyBorder="1" applyAlignment="1">
      <alignment horizontal="center"/>
    </xf>
    <xf numFmtId="0" fontId="4" fillId="2" borderId="3" xfId="6" applyFont="1" applyFill="1" applyBorder="1" applyAlignment="1">
      <alignment horizontal="center" wrapText="1"/>
    </xf>
    <xf numFmtId="0" fontId="2" fillId="2" borderId="4" xfId="6" applyFont="1" applyFill="1" applyBorder="1" applyAlignment="1">
      <alignment horizontal="left" vertical="top" wrapText="1"/>
    </xf>
    <xf numFmtId="0" fontId="2" fillId="2" borderId="5" xfId="6" applyFont="1" applyFill="1" applyBorder="1" applyAlignment="1">
      <alignment horizontal="left" vertical="top" wrapText="1"/>
    </xf>
    <xf numFmtId="0" fontId="2" fillId="2" borderId="6" xfId="6" applyFont="1" applyFill="1" applyBorder="1" applyAlignment="1">
      <alignment horizontal="left" vertical="top" wrapText="1"/>
    </xf>
    <xf numFmtId="0" fontId="2" fillId="2" borderId="3" xfId="6" applyFont="1" applyFill="1" applyBorder="1" applyAlignment="1">
      <alignment horizontal="left" vertical="top" wrapText="1"/>
    </xf>
    <xf numFmtId="0" fontId="2" fillId="2" borderId="2" xfId="6" applyFont="1" applyFill="1" applyBorder="1" applyAlignment="1">
      <alignment horizontal="center" vertical="center" wrapText="1"/>
    </xf>
    <xf numFmtId="0" fontId="2" fillId="2" borderId="0" xfId="6" applyFont="1" applyFill="1" applyBorder="1" applyAlignment="1">
      <alignment horizontal="left" vertical="justify" wrapText="1"/>
    </xf>
    <xf numFmtId="0" fontId="2" fillId="2" borderId="3" xfId="6" applyFont="1" applyFill="1" applyBorder="1" applyAlignment="1">
      <alignment horizontal="center" vertical="center" wrapText="1"/>
    </xf>
    <xf numFmtId="0" fontId="3" fillId="2" borderId="0" xfId="6" applyFont="1" applyFill="1" applyAlignment="1">
      <alignment horizontal="center" vertical="center"/>
    </xf>
    <xf numFmtId="0" fontId="2" fillId="2" borderId="1" xfId="6" applyFont="1" applyFill="1" applyBorder="1" applyAlignment="1">
      <alignment horizontal="center" vertical="center" wrapText="1"/>
    </xf>
    <xf numFmtId="0" fontId="28" fillId="2" borderId="16" xfId="6" applyFont="1" applyFill="1" applyBorder="1" applyAlignment="1"/>
    <xf numFmtId="0" fontId="2" fillId="2" borderId="1" xfId="6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justify" wrapText="1"/>
    </xf>
    <xf numFmtId="0" fontId="2" fillId="0" borderId="0" xfId="0" applyFont="1" applyFill="1" applyBorder="1" applyAlignment="1">
      <alignment horizontal="center" vertical="justify" wrapText="1"/>
    </xf>
    <xf numFmtId="0" fontId="23" fillId="0" borderId="0" xfId="0" applyFont="1" applyFill="1" applyAlignment="1">
      <alignment horizontal="left"/>
    </xf>
    <xf numFmtId="0" fontId="20" fillId="0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167" fontId="9" fillId="0" borderId="7" xfId="1" applyNumberFormat="1" applyFont="1" applyBorder="1" applyAlignment="1">
      <alignment horizontal="center" vertical="center" wrapText="1"/>
    </xf>
    <xf numFmtId="167" fontId="9" fillId="0" borderId="12" xfId="1" applyNumberFormat="1" applyFont="1" applyBorder="1" applyAlignment="1">
      <alignment horizontal="center" vertical="center" wrapText="1"/>
    </xf>
    <xf numFmtId="167" fontId="8" fillId="0" borderId="7" xfId="1" applyNumberFormat="1" applyFont="1" applyBorder="1" applyAlignment="1">
      <alignment horizontal="center" vertical="center" wrapText="1"/>
    </xf>
    <xf numFmtId="167" fontId="8" fillId="0" borderId="12" xfId="1" applyNumberFormat="1" applyFont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left" vertical="top"/>
    </xf>
    <xf numFmtId="0" fontId="8" fillId="0" borderId="7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2" fillId="2" borderId="0" xfId="6" applyFont="1" applyFill="1" applyBorder="1" applyAlignment="1">
      <alignment horizontal="center" vertical="justify"/>
    </xf>
    <xf numFmtId="0" fontId="2" fillId="2" borderId="0" xfId="6" applyFont="1" applyFill="1" applyBorder="1" applyAlignment="1">
      <alignment horizontal="center" vertical="justify" wrapText="1"/>
    </xf>
  </cellXfs>
  <cellStyles count="9">
    <cellStyle name="Денежный 3" xfId="4"/>
    <cellStyle name="Обычный" xfId="0" builtinId="0"/>
    <cellStyle name="Обычный 10" xfId="5"/>
    <cellStyle name="Обычный 2" xfId="1"/>
    <cellStyle name="Обычный 2 3" xfId="2"/>
    <cellStyle name="Обычный 3" xfId="6"/>
    <cellStyle name="Обычный 3 4" xfId="3"/>
    <cellStyle name="Обычный 5" xfId="8"/>
    <cellStyle name="Финансовый 2" xfId="7"/>
  </cellStyles>
  <dxfs count="59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FFD5"/>
      <color rgb="FFFFFFBD"/>
      <color rgb="FFFFE285"/>
      <color rgb="FFFFEE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"/>
  <sheetViews>
    <sheetView showGridLines="0" view="pageBreakPreview" zoomScale="80" zoomScaleNormal="100" zoomScaleSheetLayoutView="80" workbookViewId="0">
      <selection activeCell="N16" sqref="N16"/>
    </sheetView>
  </sheetViews>
  <sheetFormatPr defaultRowHeight="12.75" x14ac:dyDescent="0.2"/>
  <cols>
    <col min="1" max="1" width="8.33203125" style="134" customWidth="1"/>
    <col min="2" max="2" width="15.83203125" style="134" customWidth="1"/>
    <col min="3" max="3" width="34.6640625" style="134" customWidth="1"/>
    <col min="4" max="4" width="13.6640625" style="134" customWidth="1"/>
    <col min="5" max="7" width="13.33203125" style="134" customWidth="1"/>
    <col min="8" max="8" width="16.1640625" style="134" customWidth="1"/>
    <col min="9" max="9" width="9.33203125" style="134"/>
    <col min="10" max="256" width="9.33203125" style="135"/>
    <col min="257" max="257" width="8.33203125" style="135" customWidth="1"/>
    <col min="258" max="258" width="15.83203125" style="135" customWidth="1"/>
    <col min="259" max="259" width="34.6640625" style="135" customWidth="1"/>
    <col min="260" max="260" width="13.6640625" style="135" customWidth="1"/>
    <col min="261" max="263" width="13.33203125" style="135" customWidth="1"/>
    <col min="264" max="264" width="16.1640625" style="135" customWidth="1"/>
    <col min="265" max="512" width="9.33203125" style="135"/>
    <col min="513" max="513" width="8.33203125" style="135" customWidth="1"/>
    <col min="514" max="514" width="15.83203125" style="135" customWidth="1"/>
    <col min="515" max="515" width="34.6640625" style="135" customWidth="1"/>
    <col min="516" max="516" width="13.6640625" style="135" customWidth="1"/>
    <col min="517" max="519" width="13.33203125" style="135" customWidth="1"/>
    <col min="520" max="520" width="16.1640625" style="135" customWidth="1"/>
    <col min="521" max="768" width="9.33203125" style="135"/>
    <col min="769" max="769" width="8.33203125" style="135" customWidth="1"/>
    <col min="770" max="770" width="15.83203125" style="135" customWidth="1"/>
    <col min="771" max="771" width="34.6640625" style="135" customWidth="1"/>
    <col min="772" max="772" width="13.6640625" style="135" customWidth="1"/>
    <col min="773" max="775" width="13.33203125" style="135" customWidth="1"/>
    <col min="776" max="776" width="16.1640625" style="135" customWidth="1"/>
    <col min="777" max="1024" width="9.33203125" style="135"/>
    <col min="1025" max="1025" width="8.33203125" style="135" customWidth="1"/>
    <col min="1026" max="1026" width="15.83203125" style="135" customWidth="1"/>
    <col min="1027" max="1027" width="34.6640625" style="135" customWidth="1"/>
    <col min="1028" max="1028" width="13.6640625" style="135" customWidth="1"/>
    <col min="1029" max="1031" width="13.33203125" style="135" customWidth="1"/>
    <col min="1032" max="1032" width="16.1640625" style="135" customWidth="1"/>
    <col min="1033" max="1280" width="9.33203125" style="135"/>
    <col min="1281" max="1281" width="8.33203125" style="135" customWidth="1"/>
    <col min="1282" max="1282" width="15.83203125" style="135" customWidth="1"/>
    <col min="1283" max="1283" width="34.6640625" style="135" customWidth="1"/>
    <col min="1284" max="1284" width="13.6640625" style="135" customWidth="1"/>
    <col min="1285" max="1287" width="13.33203125" style="135" customWidth="1"/>
    <col min="1288" max="1288" width="16.1640625" style="135" customWidth="1"/>
    <col min="1289" max="1536" width="9.33203125" style="135"/>
    <col min="1537" max="1537" width="8.33203125" style="135" customWidth="1"/>
    <col min="1538" max="1538" width="15.83203125" style="135" customWidth="1"/>
    <col min="1539" max="1539" width="34.6640625" style="135" customWidth="1"/>
    <col min="1540" max="1540" width="13.6640625" style="135" customWidth="1"/>
    <col min="1541" max="1543" width="13.33203125" style="135" customWidth="1"/>
    <col min="1544" max="1544" width="16.1640625" style="135" customWidth="1"/>
    <col min="1545" max="1792" width="9.33203125" style="135"/>
    <col min="1793" max="1793" width="8.33203125" style="135" customWidth="1"/>
    <col min="1794" max="1794" width="15.83203125" style="135" customWidth="1"/>
    <col min="1795" max="1795" width="34.6640625" style="135" customWidth="1"/>
    <col min="1796" max="1796" width="13.6640625" style="135" customWidth="1"/>
    <col min="1797" max="1799" width="13.33203125" style="135" customWidth="1"/>
    <col min="1800" max="1800" width="16.1640625" style="135" customWidth="1"/>
    <col min="1801" max="2048" width="9.33203125" style="135"/>
    <col min="2049" max="2049" width="8.33203125" style="135" customWidth="1"/>
    <col min="2050" max="2050" width="15.83203125" style="135" customWidth="1"/>
    <col min="2051" max="2051" width="34.6640625" style="135" customWidth="1"/>
    <col min="2052" max="2052" width="13.6640625" style="135" customWidth="1"/>
    <col min="2053" max="2055" width="13.33203125" style="135" customWidth="1"/>
    <col min="2056" max="2056" width="16.1640625" style="135" customWidth="1"/>
    <col min="2057" max="2304" width="9.33203125" style="135"/>
    <col min="2305" max="2305" width="8.33203125" style="135" customWidth="1"/>
    <col min="2306" max="2306" width="15.83203125" style="135" customWidth="1"/>
    <col min="2307" max="2307" width="34.6640625" style="135" customWidth="1"/>
    <col min="2308" max="2308" width="13.6640625" style="135" customWidth="1"/>
    <col min="2309" max="2311" width="13.33203125" style="135" customWidth="1"/>
    <col min="2312" max="2312" width="16.1640625" style="135" customWidth="1"/>
    <col min="2313" max="2560" width="9.33203125" style="135"/>
    <col min="2561" max="2561" width="8.33203125" style="135" customWidth="1"/>
    <col min="2562" max="2562" width="15.83203125" style="135" customWidth="1"/>
    <col min="2563" max="2563" width="34.6640625" style="135" customWidth="1"/>
    <col min="2564" max="2564" width="13.6640625" style="135" customWidth="1"/>
    <col min="2565" max="2567" width="13.33203125" style="135" customWidth="1"/>
    <col min="2568" max="2568" width="16.1640625" style="135" customWidth="1"/>
    <col min="2569" max="2816" width="9.33203125" style="135"/>
    <col min="2817" max="2817" width="8.33203125" style="135" customWidth="1"/>
    <col min="2818" max="2818" width="15.83203125" style="135" customWidth="1"/>
    <col min="2819" max="2819" width="34.6640625" style="135" customWidth="1"/>
    <col min="2820" max="2820" width="13.6640625" style="135" customWidth="1"/>
    <col min="2821" max="2823" width="13.33203125" style="135" customWidth="1"/>
    <col min="2824" max="2824" width="16.1640625" style="135" customWidth="1"/>
    <col min="2825" max="3072" width="9.33203125" style="135"/>
    <col min="3073" max="3073" width="8.33203125" style="135" customWidth="1"/>
    <col min="3074" max="3074" width="15.83203125" style="135" customWidth="1"/>
    <col min="3075" max="3075" width="34.6640625" style="135" customWidth="1"/>
    <col min="3076" max="3076" width="13.6640625" style="135" customWidth="1"/>
    <col min="3077" max="3079" width="13.33203125" style="135" customWidth="1"/>
    <col min="3080" max="3080" width="16.1640625" style="135" customWidth="1"/>
    <col min="3081" max="3328" width="9.33203125" style="135"/>
    <col min="3329" max="3329" width="8.33203125" style="135" customWidth="1"/>
    <col min="3330" max="3330" width="15.83203125" style="135" customWidth="1"/>
    <col min="3331" max="3331" width="34.6640625" style="135" customWidth="1"/>
    <col min="3332" max="3332" width="13.6640625" style="135" customWidth="1"/>
    <col min="3333" max="3335" width="13.33203125" style="135" customWidth="1"/>
    <col min="3336" max="3336" width="16.1640625" style="135" customWidth="1"/>
    <col min="3337" max="3584" width="9.33203125" style="135"/>
    <col min="3585" max="3585" width="8.33203125" style="135" customWidth="1"/>
    <col min="3586" max="3586" width="15.83203125" style="135" customWidth="1"/>
    <col min="3587" max="3587" width="34.6640625" style="135" customWidth="1"/>
    <col min="3588" max="3588" width="13.6640625" style="135" customWidth="1"/>
    <col min="3589" max="3591" width="13.33203125" style="135" customWidth="1"/>
    <col min="3592" max="3592" width="16.1640625" style="135" customWidth="1"/>
    <col min="3593" max="3840" width="9.33203125" style="135"/>
    <col min="3841" max="3841" width="8.33203125" style="135" customWidth="1"/>
    <col min="3842" max="3842" width="15.83203125" style="135" customWidth="1"/>
    <col min="3843" max="3843" width="34.6640625" style="135" customWidth="1"/>
    <col min="3844" max="3844" width="13.6640625" style="135" customWidth="1"/>
    <col min="3845" max="3847" width="13.33203125" style="135" customWidth="1"/>
    <col min="3848" max="3848" width="16.1640625" style="135" customWidth="1"/>
    <col min="3849" max="4096" width="9.33203125" style="135"/>
    <col min="4097" max="4097" width="8.33203125" style="135" customWidth="1"/>
    <col min="4098" max="4098" width="15.83203125" style="135" customWidth="1"/>
    <col min="4099" max="4099" width="34.6640625" style="135" customWidth="1"/>
    <col min="4100" max="4100" width="13.6640625" style="135" customWidth="1"/>
    <col min="4101" max="4103" width="13.33203125" style="135" customWidth="1"/>
    <col min="4104" max="4104" width="16.1640625" style="135" customWidth="1"/>
    <col min="4105" max="4352" width="9.33203125" style="135"/>
    <col min="4353" max="4353" width="8.33203125" style="135" customWidth="1"/>
    <col min="4354" max="4354" width="15.83203125" style="135" customWidth="1"/>
    <col min="4355" max="4355" width="34.6640625" style="135" customWidth="1"/>
    <col min="4356" max="4356" width="13.6640625" style="135" customWidth="1"/>
    <col min="4357" max="4359" width="13.33203125" style="135" customWidth="1"/>
    <col min="4360" max="4360" width="16.1640625" style="135" customWidth="1"/>
    <col min="4361" max="4608" width="9.33203125" style="135"/>
    <col min="4609" max="4609" width="8.33203125" style="135" customWidth="1"/>
    <col min="4610" max="4610" width="15.83203125" style="135" customWidth="1"/>
    <col min="4611" max="4611" width="34.6640625" style="135" customWidth="1"/>
    <col min="4612" max="4612" width="13.6640625" style="135" customWidth="1"/>
    <col min="4613" max="4615" width="13.33203125" style="135" customWidth="1"/>
    <col min="4616" max="4616" width="16.1640625" style="135" customWidth="1"/>
    <col min="4617" max="4864" width="9.33203125" style="135"/>
    <col min="4865" max="4865" width="8.33203125" style="135" customWidth="1"/>
    <col min="4866" max="4866" width="15.83203125" style="135" customWidth="1"/>
    <col min="4867" max="4867" width="34.6640625" style="135" customWidth="1"/>
    <col min="4868" max="4868" width="13.6640625" style="135" customWidth="1"/>
    <col min="4869" max="4871" width="13.33203125" style="135" customWidth="1"/>
    <col min="4872" max="4872" width="16.1640625" style="135" customWidth="1"/>
    <col min="4873" max="5120" width="9.33203125" style="135"/>
    <col min="5121" max="5121" width="8.33203125" style="135" customWidth="1"/>
    <col min="5122" max="5122" width="15.83203125" style="135" customWidth="1"/>
    <col min="5123" max="5123" width="34.6640625" style="135" customWidth="1"/>
    <col min="5124" max="5124" width="13.6640625" style="135" customWidth="1"/>
    <col min="5125" max="5127" width="13.33203125" style="135" customWidth="1"/>
    <col min="5128" max="5128" width="16.1640625" style="135" customWidth="1"/>
    <col min="5129" max="5376" width="9.33203125" style="135"/>
    <col min="5377" max="5377" width="8.33203125" style="135" customWidth="1"/>
    <col min="5378" max="5378" width="15.83203125" style="135" customWidth="1"/>
    <col min="5379" max="5379" width="34.6640625" style="135" customWidth="1"/>
    <col min="5380" max="5380" width="13.6640625" style="135" customWidth="1"/>
    <col min="5381" max="5383" width="13.33203125" style="135" customWidth="1"/>
    <col min="5384" max="5384" width="16.1640625" style="135" customWidth="1"/>
    <col min="5385" max="5632" width="9.33203125" style="135"/>
    <col min="5633" max="5633" width="8.33203125" style="135" customWidth="1"/>
    <col min="5634" max="5634" width="15.83203125" style="135" customWidth="1"/>
    <col min="5635" max="5635" width="34.6640625" style="135" customWidth="1"/>
    <col min="5636" max="5636" width="13.6640625" style="135" customWidth="1"/>
    <col min="5637" max="5639" width="13.33203125" style="135" customWidth="1"/>
    <col min="5640" max="5640" width="16.1640625" style="135" customWidth="1"/>
    <col min="5641" max="5888" width="9.33203125" style="135"/>
    <col min="5889" max="5889" width="8.33203125" style="135" customWidth="1"/>
    <col min="5890" max="5890" width="15.83203125" style="135" customWidth="1"/>
    <col min="5891" max="5891" width="34.6640625" style="135" customWidth="1"/>
    <col min="5892" max="5892" width="13.6640625" style="135" customWidth="1"/>
    <col min="5893" max="5895" width="13.33203125" style="135" customWidth="1"/>
    <col min="5896" max="5896" width="16.1640625" style="135" customWidth="1"/>
    <col min="5897" max="6144" width="9.33203125" style="135"/>
    <col min="6145" max="6145" width="8.33203125" style="135" customWidth="1"/>
    <col min="6146" max="6146" width="15.83203125" style="135" customWidth="1"/>
    <col min="6147" max="6147" width="34.6640625" style="135" customWidth="1"/>
    <col min="6148" max="6148" width="13.6640625" style="135" customWidth="1"/>
    <col min="6149" max="6151" width="13.33203125" style="135" customWidth="1"/>
    <col min="6152" max="6152" width="16.1640625" style="135" customWidth="1"/>
    <col min="6153" max="6400" width="9.33203125" style="135"/>
    <col min="6401" max="6401" width="8.33203125" style="135" customWidth="1"/>
    <col min="6402" max="6402" width="15.83203125" style="135" customWidth="1"/>
    <col min="6403" max="6403" width="34.6640625" style="135" customWidth="1"/>
    <col min="6404" max="6404" width="13.6640625" style="135" customWidth="1"/>
    <col min="6405" max="6407" width="13.33203125" style="135" customWidth="1"/>
    <col min="6408" max="6408" width="16.1640625" style="135" customWidth="1"/>
    <col min="6409" max="6656" width="9.33203125" style="135"/>
    <col min="6657" max="6657" width="8.33203125" style="135" customWidth="1"/>
    <col min="6658" max="6658" width="15.83203125" style="135" customWidth="1"/>
    <col min="6659" max="6659" width="34.6640625" style="135" customWidth="1"/>
    <col min="6660" max="6660" width="13.6640625" style="135" customWidth="1"/>
    <col min="6661" max="6663" width="13.33203125" style="135" customWidth="1"/>
    <col min="6664" max="6664" width="16.1640625" style="135" customWidth="1"/>
    <col min="6665" max="6912" width="9.33203125" style="135"/>
    <col min="6913" max="6913" width="8.33203125" style="135" customWidth="1"/>
    <col min="6914" max="6914" width="15.83203125" style="135" customWidth="1"/>
    <col min="6915" max="6915" width="34.6640625" style="135" customWidth="1"/>
    <col min="6916" max="6916" width="13.6640625" style="135" customWidth="1"/>
    <col min="6917" max="6919" width="13.33203125" style="135" customWidth="1"/>
    <col min="6920" max="6920" width="16.1640625" style="135" customWidth="1"/>
    <col min="6921" max="7168" width="9.33203125" style="135"/>
    <col min="7169" max="7169" width="8.33203125" style="135" customWidth="1"/>
    <col min="7170" max="7170" width="15.83203125" style="135" customWidth="1"/>
    <col min="7171" max="7171" width="34.6640625" style="135" customWidth="1"/>
    <col min="7172" max="7172" width="13.6640625" style="135" customWidth="1"/>
    <col min="7173" max="7175" width="13.33203125" style="135" customWidth="1"/>
    <col min="7176" max="7176" width="16.1640625" style="135" customWidth="1"/>
    <col min="7177" max="7424" width="9.33203125" style="135"/>
    <col min="7425" max="7425" width="8.33203125" style="135" customWidth="1"/>
    <col min="7426" max="7426" width="15.83203125" style="135" customWidth="1"/>
    <col min="7427" max="7427" width="34.6640625" style="135" customWidth="1"/>
    <col min="7428" max="7428" width="13.6640625" style="135" customWidth="1"/>
    <col min="7429" max="7431" width="13.33203125" style="135" customWidth="1"/>
    <col min="7432" max="7432" width="16.1640625" style="135" customWidth="1"/>
    <col min="7433" max="7680" width="9.33203125" style="135"/>
    <col min="7681" max="7681" width="8.33203125" style="135" customWidth="1"/>
    <col min="7682" max="7682" width="15.83203125" style="135" customWidth="1"/>
    <col min="7683" max="7683" width="34.6640625" style="135" customWidth="1"/>
    <col min="7684" max="7684" width="13.6640625" style="135" customWidth="1"/>
    <col min="7685" max="7687" width="13.33203125" style="135" customWidth="1"/>
    <col min="7688" max="7688" width="16.1640625" style="135" customWidth="1"/>
    <col min="7689" max="7936" width="9.33203125" style="135"/>
    <col min="7937" max="7937" width="8.33203125" style="135" customWidth="1"/>
    <col min="7938" max="7938" width="15.83203125" style="135" customWidth="1"/>
    <col min="7939" max="7939" width="34.6640625" style="135" customWidth="1"/>
    <col min="7940" max="7940" width="13.6640625" style="135" customWidth="1"/>
    <col min="7941" max="7943" width="13.33203125" style="135" customWidth="1"/>
    <col min="7944" max="7944" width="16.1640625" style="135" customWidth="1"/>
    <col min="7945" max="8192" width="9.33203125" style="135"/>
    <col min="8193" max="8193" width="8.33203125" style="135" customWidth="1"/>
    <col min="8194" max="8194" width="15.83203125" style="135" customWidth="1"/>
    <col min="8195" max="8195" width="34.6640625" style="135" customWidth="1"/>
    <col min="8196" max="8196" width="13.6640625" style="135" customWidth="1"/>
    <col min="8197" max="8199" width="13.33203125" style="135" customWidth="1"/>
    <col min="8200" max="8200" width="16.1640625" style="135" customWidth="1"/>
    <col min="8201" max="8448" width="9.33203125" style="135"/>
    <col min="8449" max="8449" width="8.33203125" style="135" customWidth="1"/>
    <col min="8450" max="8450" width="15.83203125" style="135" customWidth="1"/>
    <col min="8451" max="8451" width="34.6640625" style="135" customWidth="1"/>
    <col min="8452" max="8452" width="13.6640625" style="135" customWidth="1"/>
    <col min="8453" max="8455" width="13.33203125" style="135" customWidth="1"/>
    <col min="8456" max="8456" width="16.1640625" style="135" customWidth="1"/>
    <col min="8457" max="8704" width="9.33203125" style="135"/>
    <col min="8705" max="8705" width="8.33203125" style="135" customWidth="1"/>
    <col min="8706" max="8706" width="15.83203125" style="135" customWidth="1"/>
    <col min="8707" max="8707" width="34.6640625" style="135" customWidth="1"/>
    <col min="8708" max="8708" width="13.6640625" style="135" customWidth="1"/>
    <col min="8709" max="8711" width="13.33203125" style="135" customWidth="1"/>
    <col min="8712" max="8712" width="16.1640625" style="135" customWidth="1"/>
    <col min="8713" max="8960" width="9.33203125" style="135"/>
    <col min="8961" max="8961" width="8.33203125" style="135" customWidth="1"/>
    <col min="8962" max="8962" width="15.83203125" style="135" customWidth="1"/>
    <col min="8963" max="8963" width="34.6640625" style="135" customWidth="1"/>
    <col min="8964" max="8964" width="13.6640625" style="135" customWidth="1"/>
    <col min="8965" max="8967" width="13.33203125" style="135" customWidth="1"/>
    <col min="8968" max="8968" width="16.1640625" style="135" customWidth="1"/>
    <col min="8969" max="9216" width="9.33203125" style="135"/>
    <col min="9217" max="9217" width="8.33203125" style="135" customWidth="1"/>
    <col min="9218" max="9218" width="15.83203125" style="135" customWidth="1"/>
    <col min="9219" max="9219" width="34.6640625" style="135" customWidth="1"/>
    <col min="9220" max="9220" width="13.6640625" style="135" customWidth="1"/>
    <col min="9221" max="9223" width="13.33203125" style="135" customWidth="1"/>
    <col min="9224" max="9224" width="16.1640625" style="135" customWidth="1"/>
    <col min="9225" max="9472" width="9.33203125" style="135"/>
    <col min="9473" max="9473" width="8.33203125" style="135" customWidth="1"/>
    <col min="9474" max="9474" width="15.83203125" style="135" customWidth="1"/>
    <col min="9475" max="9475" width="34.6640625" style="135" customWidth="1"/>
    <col min="9476" max="9476" width="13.6640625" style="135" customWidth="1"/>
    <col min="9477" max="9479" width="13.33203125" style="135" customWidth="1"/>
    <col min="9480" max="9480" width="16.1640625" style="135" customWidth="1"/>
    <col min="9481" max="9728" width="9.33203125" style="135"/>
    <col min="9729" max="9729" width="8.33203125" style="135" customWidth="1"/>
    <col min="9730" max="9730" width="15.83203125" style="135" customWidth="1"/>
    <col min="9731" max="9731" width="34.6640625" style="135" customWidth="1"/>
    <col min="9732" max="9732" width="13.6640625" style="135" customWidth="1"/>
    <col min="9733" max="9735" width="13.33203125" style="135" customWidth="1"/>
    <col min="9736" max="9736" width="16.1640625" style="135" customWidth="1"/>
    <col min="9737" max="9984" width="9.33203125" style="135"/>
    <col min="9985" max="9985" width="8.33203125" style="135" customWidth="1"/>
    <col min="9986" max="9986" width="15.83203125" style="135" customWidth="1"/>
    <col min="9987" max="9987" width="34.6640625" style="135" customWidth="1"/>
    <col min="9988" max="9988" width="13.6640625" style="135" customWidth="1"/>
    <col min="9989" max="9991" width="13.33203125" style="135" customWidth="1"/>
    <col min="9992" max="9992" width="16.1640625" style="135" customWidth="1"/>
    <col min="9993" max="10240" width="9.33203125" style="135"/>
    <col min="10241" max="10241" width="8.33203125" style="135" customWidth="1"/>
    <col min="10242" max="10242" width="15.83203125" style="135" customWidth="1"/>
    <col min="10243" max="10243" width="34.6640625" style="135" customWidth="1"/>
    <col min="10244" max="10244" width="13.6640625" style="135" customWidth="1"/>
    <col min="10245" max="10247" width="13.33203125" style="135" customWidth="1"/>
    <col min="10248" max="10248" width="16.1640625" style="135" customWidth="1"/>
    <col min="10249" max="10496" width="9.33203125" style="135"/>
    <col min="10497" max="10497" width="8.33203125" style="135" customWidth="1"/>
    <col min="10498" max="10498" width="15.83203125" style="135" customWidth="1"/>
    <col min="10499" max="10499" width="34.6640625" style="135" customWidth="1"/>
    <col min="10500" max="10500" width="13.6640625" style="135" customWidth="1"/>
    <col min="10501" max="10503" width="13.33203125" style="135" customWidth="1"/>
    <col min="10504" max="10504" width="16.1640625" style="135" customWidth="1"/>
    <col min="10505" max="10752" width="9.33203125" style="135"/>
    <col min="10753" max="10753" width="8.33203125" style="135" customWidth="1"/>
    <col min="10754" max="10754" width="15.83203125" style="135" customWidth="1"/>
    <col min="10755" max="10755" width="34.6640625" style="135" customWidth="1"/>
    <col min="10756" max="10756" width="13.6640625" style="135" customWidth="1"/>
    <col min="10757" max="10759" width="13.33203125" style="135" customWidth="1"/>
    <col min="10760" max="10760" width="16.1640625" style="135" customWidth="1"/>
    <col min="10761" max="11008" width="9.33203125" style="135"/>
    <col min="11009" max="11009" width="8.33203125" style="135" customWidth="1"/>
    <col min="11010" max="11010" width="15.83203125" style="135" customWidth="1"/>
    <col min="11011" max="11011" width="34.6640625" style="135" customWidth="1"/>
    <col min="11012" max="11012" width="13.6640625" style="135" customWidth="1"/>
    <col min="11013" max="11015" width="13.33203125" style="135" customWidth="1"/>
    <col min="11016" max="11016" width="16.1640625" style="135" customWidth="1"/>
    <col min="11017" max="11264" width="9.33203125" style="135"/>
    <col min="11265" max="11265" width="8.33203125" style="135" customWidth="1"/>
    <col min="11266" max="11266" width="15.83203125" style="135" customWidth="1"/>
    <col min="11267" max="11267" width="34.6640625" style="135" customWidth="1"/>
    <col min="11268" max="11268" width="13.6640625" style="135" customWidth="1"/>
    <col min="11269" max="11271" width="13.33203125" style="135" customWidth="1"/>
    <col min="11272" max="11272" width="16.1640625" style="135" customWidth="1"/>
    <col min="11273" max="11520" width="9.33203125" style="135"/>
    <col min="11521" max="11521" width="8.33203125" style="135" customWidth="1"/>
    <col min="11522" max="11522" width="15.83203125" style="135" customWidth="1"/>
    <col min="11523" max="11523" width="34.6640625" style="135" customWidth="1"/>
    <col min="11524" max="11524" width="13.6640625" style="135" customWidth="1"/>
    <col min="11525" max="11527" width="13.33203125" style="135" customWidth="1"/>
    <col min="11528" max="11528" width="16.1640625" style="135" customWidth="1"/>
    <col min="11529" max="11776" width="9.33203125" style="135"/>
    <col min="11777" max="11777" width="8.33203125" style="135" customWidth="1"/>
    <col min="11778" max="11778" width="15.83203125" style="135" customWidth="1"/>
    <col min="11779" max="11779" width="34.6640625" style="135" customWidth="1"/>
    <col min="11780" max="11780" width="13.6640625" style="135" customWidth="1"/>
    <col min="11781" max="11783" width="13.33203125" style="135" customWidth="1"/>
    <col min="11784" max="11784" width="16.1640625" style="135" customWidth="1"/>
    <col min="11785" max="12032" width="9.33203125" style="135"/>
    <col min="12033" max="12033" width="8.33203125" style="135" customWidth="1"/>
    <col min="12034" max="12034" width="15.83203125" style="135" customWidth="1"/>
    <col min="12035" max="12035" width="34.6640625" style="135" customWidth="1"/>
    <col min="12036" max="12036" width="13.6640625" style="135" customWidth="1"/>
    <col min="12037" max="12039" width="13.33203125" style="135" customWidth="1"/>
    <col min="12040" max="12040" width="16.1640625" style="135" customWidth="1"/>
    <col min="12041" max="12288" width="9.33203125" style="135"/>
    <col min="12289" max="12289" width="8.33203125" style="135" customWidth="1"/>
    <col min="12290" max="12290" width="15.83203125" style="135" customWidth="1"/>
    <col min="12291" max="12291" width="34.6640625" style="135" customWidth="1"/>
    <col min="12292" max="12292" width="13.6640625" style="135" customWidth="1"/>
    <col min="12293" max="12295" width="13.33203125" style="135" customWidth="1"/>
    <col min="12296" max="12296" width="16.1640625" style="135" customWidth="1"/>
    <col min="12297" max="12544" width="9.33203125" style="135"/>
    <col min="12545" max="12545" width="8.33203125" style="135" customWidth="1"/>
    <col min="12546" max="12546" width="15.83203125" style="135" customWidth="1"/>
    <col min="12547" max="12547" width="34.6640625" style="135" customWidth="1"/>
    <col min="12548" max="12548" width="13.6640625" style="135" customWidth="1"/>
    <col min="12549" max="12551" width="13.33203125" style="135" customWidth="1"/>
    <col min="12552" max="12552" width="16.1640625" style="135" customWidth="1"/>
    <col min="12553" max="12800" width="9.33203125" style="135"/>
    <col min="12801" max="12801" width="8.33203125" style="135" customWidth="1"/>
    <col min="12802" max="12802" width="15.83203125" style="135" customWidth="1"/>
    <col min="12803" max="12803" width="34.6640625" style="135" customWidth="1"/>
    <col min="12804" max="12804" width="13.6640625" style="135" customWidth="1"/>
    <col min="12805" max="12807" width="13.33203125" style="135" customWidth="1"/>
    <col min="12808" max="12808" width="16.1640625" style="135" customWidth="1"/>
    <col min="12809" max="13056" width="9.33203125" style="135"/>
    <col min="13057" max="13057" width="8.33203125" style="135" customWidth="1"/>
    <col min="13058" max="13058" width="15.83203125" style="135" customWidth="1"/>
    <col min="13059" max="13059" width="34.6640625" style="135" customWidth="1"/>
    <col min="13060" max="13060" width="13.6640625" style="135" customWidth="1"/>
    <col min="13061" max="13063" width="13.33203125" style="135" customWidth="1"/>
    <col min="13064" max="13064" width="16.1640625" style="135" customWidth="1"/>
    <col min="13065" max="13312" width="9.33203125" style="135"/>
    <col min="13313" max="13313" width="8.33203125" style="135" customWidth="1"/>
    <col min="13314" max="13314" width="15.83203125" style="135" customWidth="1"/>
    <col min="13315" max="13315" width="34.6640625" style="135" customWidth="1"/>
    <col min="13316" max="13316" width="13.6640625" style="135" customWidth="1"/>
    <col min="13317" max="13319" width="13.33203125" style="135" customWidth="1"/>
    <col min="13320" max="13320" width="16.1640625" style="135" customWidth="1"/>
    <col min="13321" max="13568" width="9.33203125" style="135"/>
    <col min="13569" max="13569" width="8.33203125" style="135" customWidth="1"/>
    <col min="13570" max="13570" width="15.83203125" style="135" customWidth="1"/>
    <col min="13571" max="13571" width="34.6640625" style="135" customWidth="1"/>
    <col min="13572" max="13572" width="13.6640625" style="135" customWidth="1"/>
    <col min="13573" max="13575" width="13.33203125" style="135" customWidth="1"/>
    <col min="13576" max="13576" width="16.1640625" style="135" customWidth="1"/>
    <col min="13577" max="13824" width="9.33203125" style="135"/>
    <col min="13825" max="13825" width="8.33203125" style="135" customWidth="1"/>
    <col min="13826" max="13826" width="15.83203125" style="135" customWidth="1"/>
    <col min="13827" max="13827" width="34.6640625" style="135" customWidth="1"/>
    <col min="13828" max="13828" width="13.6640625" style="135" customWidth="1"/>
    <col min="13829" max="13831" width="13.33203125" style="135" customWidth="1"/>
    <col min="13832" max="13832" width="16.1640625" style="135" customWidth="1"/>
    <col min="13833" max="14080" width="9.33203125" style="135"/>
    <col min="14081" max="14081" width="8.33203125" style="135" customWidth="1"/>
    <col min="14082" max="14082" width="15.83203125" style="135" customWidth="1"/>
    <col min="14083" max="14083" width="34.6640625" style="135" customWidth="1"/>
    <col min="14084" max="14084" width="13.6640625" style="135" customWidth="1"/>
    <col min="14085" max="14087" width="13.33203125" style="135" customWidth="1"/>
    <col min="14088" max="14088" width="16.1640625" style="135" customWidth="1"/>
    <col min="14089" max="14336" width="9.33203125" style="135"/>
    <col min="14337" max="14337" width="8.33203125" style="135" customWidth="1"/>
    <col min="14338" max="14338" width="15.83203125" style="135" customWidth="1"/>
    <col min="14339" max="14339" width="34.6640625" style="135" customWidth="1"/>
    <col min="14340" max="14340" width="13.6640625" style="135" customWidth="1"/>
    <col min="14341" max="14343" width="13.33203125" style="135" customWidth="1"/>
    <col min="14344" max="14344" width="16.1640625" style="135" customWidth="1"/>
    <col min="14345" max="14592" width="9.33203125" style="135"/>
    <col min="14593" max="14593" width="8.33203125" style="135" customWidth="1"/>
    <col min="14594" max="14594" width="15.83203125" style="135" customWidth="1"/>
    <col min="14595" max="14595" width="34.6640625" style="135" customWidth="1"/>
    <col min="14596" max="14596" width="13.6640625" style="135" customWidth="1"/>
    <col min="14597" max="14599" width="13.33203125" style="135" customWidth="1"/>
    <col min="14600" max="14600" width="16.1640625" style="135" customWidth="1"/>
    <col min="14601" max="14848" width="9.33203125" style="135"/>
    <col min="14849" max="14849" width="8.33203125" style="135" customWidth="1"/>
    <col min="14850" max="14850" width="15.83203125" style="135" customWidth="1"/>
    <col min="14851" max="14851" width="34.6640625" style="135" customWidth="1"/>
    <col min="14852" max="14852" width="13.6640625" style="135" customWidth="1"/>
    <col min="14853" max="14855" width="13.33203125" style="135" customWidth="1"/>
    <col min="14856" max="14856" width="16.1640625" style="135" customWidth="1"/>
    <col min="14857" max="15104" width="9.33203125" style="135"/>
    <col min="15105" max="15105" width="8.33203125" style="135" customWidth="1"/>
    <col min="15106" max="15106" width="15.83203125" style="135" customWidth="1"/>
    <col min="15107" max="15107" width="34.6640625" style="135" customWidth="1"/>
    <col min="15108" max="15108" width="13.6640625" style="135" customWidth="1"/>
    <col min="15109" max="15111" width="13.33203125" style="135" customWidth="1"/>
    <col min="15112" max="15112" width="16.1640625" style="135" customWidth="1"/>
    <col min="15113" max="15360" width="9.33203125" style="135"/>
    <col min="15361" max="15361" width="8.33203125" style="135" customWidth="1"/>
    <col min="15362" max="15362" width="15.83203125" style="135" customWidth="1"/>
    <col min="15363" max="15363" width="34.6640625" style="135" customWidth="1"/>
    <col min="15364" max="15364" width="13.6640625" style="135" customWidth="1"/>
    <col min="15365" max="15367" width="13.33203125" style="135" customWidth="1"/>
    <col min="15368" max="15368" width="16.1640625" style="135" customWidth="1"/>
    <col min="15369" max="15616" width="9.33203125" style="135"/>
    <col min="15617" max="15617" width="8.33203125" style="135" customWidth="1"/>
    <col min="15618" max="15618" width="15.83203125" style="135" customWidth="1"/>
    <col min="15619" max="15619" width="34.6640625" style="135" customWidth="1"/>
    <col min="15620" max="15620" width="13.6640625" style="135" customWidth="1"/>
    <col min="15621" max="15623" width="13.33203125" style="135" customWidth="1"/>
    <col min="15624" max="15624" width="16.1640625" style="135" customWidth="1"/>
    <col min="15625" max="15872" width="9.33203125" style="135"/>
    <col min="15873" max="15873" width="8.33203125" style="135" customWidth="1"/>
    <col min="15874" max="15874" width="15.83203125" style="135" customWidth="1"/>
    <col min="15875" max="15875" width="34.6640625" style="135" customWidth="1"/>
    <col min="15876" max="15876" width="13.6640625" style="135" customWidth="1"/>
    <col min="15877" max="15879" width="13.33203125" style="135" customWidth="1"/>
    <col min="15880" max="15880" width="16.1640625" style="135" customWidth="1"/>
    <col min="15881" max="16128" width="9.33203125" style="135"/>
    <col min="16129" max="16129" width="8.33203125" style="135" customWidth="1"/>
    <col min="16130" max="16130" width="15.83203125" style="135" customWidth="1"/>
    <col min="16131" max="16131" width="34.6640625" style="135" customWidth="1"/>
    <col min="16132" max="16132" width="13.6640625" style="135" customWidth="1"/>
    <col min="16133" max="16135" width="13.33203125" style="135" customWidth="1"/>
    <col min="16136" max="16136" width="16.1640625" style="135" customWidth="1"/>
    <col min="16137" max="16384" width="9.33203125" style="135"/>
  </cols>
  <sheetData>
    <row r="1" spans="1:9" s="120" customFormat="1" x14ac:dyDescent="0.2">
      <c r="A1" s="118"/>
      <c r="B1" s="118"/>
      <c r="C1" s="118"/>
      <c r="D1" s="118"/>
      <c r="E1" s="118"/>
      <c r="F1" s="118"/>
      <c r="G1" s="118"/>
      <c r="H1" s="119" t="s">
        <v>107</v>
      </c>
      <c r="I1" s="118"/>
    </row>
    <row r="2" spans="1:9" s="120" customFormat="1" ht="12.75" customHeight="1" x14ac:dyDescent="0.2">
      <c r="A2" s="121" t="s">
        <v>108</v>
      </c>
      <c r="B2" s="275" t="s">
        <v>109</v>
      </c>
      <c r="C2" s="275"/>
      <c r="D2" s="275"/>
      <c r="E2" s="275"/>
      <c r="F2" s="275"/>
      <c r="G2" s="275"/>
      <c r="H2" s="119"/>
      <c r="I2" s="118"/>
    </row>
    <row r="3" spans="1:9" s="120" customFormat="1" ht="12.75" customHeight="1" x14ac:dyDescent="0.2">
      <c r="A3" s="122"/>
      <c r="B3" s="271" t="s">
        <v>110</v>
      </c>
      <c r="C3" s="271"/>
      <c r="D3" s="271"/>
      <c r="E3" s="271"/>
      <c r="F3" s="271"/>
      <c r="G3" s="271"/>
      <c r="H3" s="118"/>
      <c r="I3" s="118"/>
    </row>
    <row r="4" spans="1:9" s="120" customFormat="1" x14ac:dyDescent="0.2">
      <c r="A4" s="118"/>
      <c r="B4" s="118"/>
      <c r="C4" s="118"/>
      <c r="D4" s="118"/>
      <c r="E4" s="118"/>
      <c r="F4" s="118"/>
      <c r="G4" s="118"/>
      <c r="H4" s="119"/>
      <c r="I4" s="118"/>
    </row>
    <row r="5" spans="1:9" s="120" customFormat="1" x14ac:dyDescent="0.2">
      <c r="A5" s="118" t="s">
        <v>111</v>
      </c>
      <c r="B5" s="118"/>
      <c r="C5" s="118"/>
      <c r="D5" s="118"/>
      <c r="E5" s="118"/>
      <c r="F5" s="123" t="s">
        <v>112</v>
      </c>
      <c r="G5" s="118"/>
      <c r="H5" s="119"/>
      <c r="I5" s="118"/>
    </row>
    <row r="6" spans="1:9" s="120" customFormat="1" x14ac:dyDescent="0.2">
      <c r="A6" s="118"/>
      <c r="B6" s="118"/>
      <c r="C6" s="118"/>
      <c r="D6" s="118"/>
      <c r="E6" s="118"/>
      <c r="F6" s="118"/>
      <c r="G6" s="118"/>
      <c r="H6" s="119"/>
      <c r="I6" s="118"/>
    </row>
    <row r="7" spans="1:9" s="120" customFormat="1" x14ac:dyDescent="0.2">
      <c r="A7" s="118"/>
      <c r="B7" s="276" t="s">
        <v>113</v>
      </c>
      <c r="C7" s="276"/>
      <c r="D7" s="276"/>
      <c r="E7" s="124"/>
      <c r="F7" s="124"/>
      <c r="G7" s="125">
        <f>H139</f>
        <v>18598.87</v>
      </c>
      <c r="H7" s="126" t="s">
        <v>0</v>
      </c>
      <c r="I7" s="118"/>
    </row>
    <row r="8" spans="1:9" s="120" customFormat="1" x14ac:dyDescent="0.2">
      <c r="A8" s="127"/>
      <c r="B8" s="128"/>
      <c r="C8" s="127"/>
      <c r="D8" s="127"/>
      <c r="E8" s="127"/>
      <c r="F8" s="127"/>
      <c r="G8" s="129"/>
      <c r="H8" s="130"/>
      <c r="I8" s="118"/>
    </row>
    <row r="9" spans="1:9" s="120" customFormat="1" x14ac:dyDescent="0.2">
      <c r="A9" s="277"/>
      <c r="B9" s="277"/>
      <c r="C9" s="277"/>
      <c r="D9" s="277"/>
      <c r="E9" s="277"/>
      <c r="F9" s="277"/>
      <c r="G9" s="277"/>
      <c r="H9" s="277"/>
      <c r="I9" s="118"/>
    </row>
    <row r="10" spans="1:9" s="120" customFormat="1" ht="12.75" customHeight="1" x14ac:dyDescent="0.2">
      <c r="A10" s="271" t="s">
        <v>114</v>
      </c>
      <c r="B10" s="271"/>
      <c r="C10" s="271"/>
      <c r="D10" s="271"/>
      <c r="E10" s="271"/>
      <c r="F10" s="271"/>
      <c r="G10" s="271"/>
      <c r="H10" s="271"/>
      <c r="I10" s="118"/>
    </row>
    <row r="11" spans="1:9" s="120" customFormat="1" x14ac:dyDescent="0.2">
      <c r="A11" s="118" t="s">
        <v>115</v>
      </c>
      <c r="B11" s="118"/>
      <c r="C11" s="118"/>
      <c r="D11" s="118"/>
      <c r="E11" s="118"/>
      <c r="F11" s="118"/>
      <c r="G11" s="118"/>
      <c r="H11" s="119"/>
      <c r="I11" s="118"/>
    </row>
    <row r="12" spans="1:9" s="120" customFormat="1" x14ac:dyDescent="0.2">
      <c r="A12" s="118"/>
      <c r="B12" s="118"/>
      <c r="C12" s="118"/>
      <c r="D12" s="118"/>
      <c r="E12" s="118"/>
      <c r="F12" s="118"/>
      <c r="G12" s="118"/>
      <c r="H12" s="119"/>
      <c r="I12" s="118"/>
    </row>
    <row r="13" spans="1:9" s="120" customFormat="1" x14ac:dyDescent="0.2">
      <c r="A13" s="118"/>
      <c r="B13" s="274" t="s">
        <v>116</v>
      </c>
      <c r="C13" s="274"/>
      <c r="D13" s="274"/>
      <c r="E13" s="274"/>
      <c r="F13" s="274"/>
      <c r="G13" s="274"/>
      <c r="H13" s="119"/>
      <c r="I13" s="118"/>
    </row>
    <row r="14" spans="1:9" s="120" customFormat="1" x14ac:dyDescent="0.2">
      <c r="A14" s="118"/>
      <c r="B14" s="118"/>
      <c r="C14" s="118"/>
      <c r="D14" s="118"/>
      <c r="E14" s="118"/>
      <c r="F14" s="118"/>
      <c r="G14" s="118"/>
      <c r="H14" s="119"/>
      <c r="I14" s="118"/>
    </row>
    <row r="15" spans="1:9" s="120" customFormat="1" ht="31.5" customHeight="1" x14ac:dyDescent="0.2">
      <c r="A15" s="306" t="s">
        <v>217</v>
      </c>
      <c r="B15" s="305"/>
      <c r="C15" s="305"/>
      <c r="D15" s="305"/>
      <c r="E15" s="305"/>
      <c r="F15" s="305"/>
      <c r="G15" s="305"/>
      <c r="H15" s="305"/>
      <c r="I15" s="118"/>
    </row>
    <row r="16" spans="1:9" s="120" customFormat="1" ht="12.75" customHeight="1" x14ac:dyDescent="0.2">
      <c r="A16" s="122"/>
      <c r="B16" s="271" t="s">
        <v>1</v>
      </c>
      <c r="C16" s="271"/>
      <c r="D16" s="271"/>
      <c r="E16" s="271"/>
      <c r="F16" s="271"/>
      <c r="G16" s="271"/>
      <c r="H16" s="118"/>
      <c r="I16" s="118"/>
    </row>
    <row r="17" spans="1:9" s="120" customFormat="1" x14ac:dyDescent="0.2">
      <c r="A17" s="122"/>
      <c r="B17" s="122"/>
      <c r="C17" s="122"/>
      <c r="D17" s="122"/>
      <c r="E17" s="122"/>
      <c r="F17" s="122"/>
      <c r="G17" s="122"/>
      <c r="H17" s="118"/>
      <c r="I17" s="118"/>
    </row>
    <row r="18" spans="1:9" s="120" customFormat="1" ht="12.75" customHeight="1" x14ac:dyDescent="0.2">
      <c r="A18" s="272" t="s">
        <v>2</v>
      </c>
      <c r="B18" s="272"/>
      <c r="C18" s="272"/>
      <c r="D18" s="272"/>
      <c r="E18" s="272"/>
      <c r="F18" s="272"/>
      <c r="G18" s="272"/>
      <c r="H18" s="130" t="s">
        <v>0</v>
      </c>
      <c r="I18" s="118"/>
    </row>
    <row r="19" spans="1:9" s="132" customFormat="1" ht="12.75" customHeight="1" x14ac:dyDescent="0.2">
      <c r="A19" s="273" t="s">
        <v>3</v>
      </c>
      <c r="B19" s="273" t="s">
        <v>4</v>
      </c>
      <c r="C19" s="273" t="s">
        <v>5</v>
      </c>
      <c r="D19" s="273" t="s">
        <v>6</v>
      </c>
      <c r="E19" s="273"/>
      <c r="F19" s="273"/>
      <c r="G19" s="273"/>
      <c r="H19" s="273" t="s">
        <v>7</v>
      </c>
      <c r="I19" s="131"/>
    </row>
    <row r="20" spans="1:9" s="132" customFormat="1" ht="39.6" customHeight="1" x14ac:dyDescent="0.2">
      <c r="A20" s="273"/>
      <c r="B20" s="273"/>
      <c r="C20" s="273"/>
      <c r="D20" s="167" t="s">
        <v>8</v>
      </c>
      <c r="E20" s="167" t="s">
        <v>9</v>
      </c>
      <c r="F20" s="167" t="s">
        <v>10</v>
      </c>
      <c r="G20" s="167" t="s">
        <v>11</v>
      </c>
      <c r="H20" s="273"/>
      <c r="I20" s="131"/>
    </row>
    <row r="21" spans="1:9" s="132" customFormat="1" x14ac:dyDescent="0.2">
      <c r="A21" s="133">
        <v>1</v>
      </c>
      <c r="B21" s="133">
        <v>2</v>
      </c>
      <c r="C21" s="133">
        <v>3</v>
      </c>
      <c r="D21" s="133">
        <v>4</v>
      </c>
      <c r="E21" s="133">
        <v>5</v>
      </c>
      <c r="F21" s="133">
        <v>6</v>
      </c>
      <c r="G21" s="133">
        <v>7</v>
      </c>
      <c r="H21" s="133">
        <v>8</v>
      </c>
      <c r="I21" s="131"/>
    </row>
    <row r="22" spans="1:9" x14ac:dyDescent="0.2">
      <c r="A22" s="265"/>
      <c r="B22" s="265"/>
      <c r="C22" s="265"/>
      <c r="D22" s="265"/>
      <c r="E22" s="265"/>
      <c r="F22" s="265"/>
      <c r="G22" s="265"/>
      <c r="H22" s="265"/>
    </row>
    <row r="23" spans="1:9" ht="15.75" customHeight="1" x14ac:dyDescent="0.2">
      <c r="A23" s="266" t="s">
        <v>12</v>
      </c>
      <c r="B23" s="266"/>
      <c r="C23" s="266"/>
      <c r="D23" s="266"/>
      <c r="E23" s="266"/>
      <c r="F23" s="266"/>
      <c r="G23" s="266"/>
      <c r="H23" s="266"/>
    </row>
    <row r="24" spans="1:9" s="141" customFormat="1" ht="25.5" x14ac:dyDescent="0.2">
      <c r="A24" s="136">
        <v>1</v>
      </c>
      <c r="B24" s="166" t="s">
        <v>117</v>
      </c>
      <c r="C24" s="166" t="s">
        <v>118</v>
      </c>
      <c r="D24" s="137">
        <f>109450/1000</f>
        <v>109.45</v>
      </c>
      <c r="E24" s="138"/>
      <c r="F24" s="138"/>
      <c r="G24" s="139"/>
      <c r="H24" s="139">
        <f>SUM(D24:G24)</f>
        <v>109.45</v>
      </c>
      <c r="I24" s="140"/>
    </row>
    <row r="25" spans="1:9" s="141" customFormat="1" ht="25.5" x14ac:dyDescent="0.2">
      <c r="A25" s="136">
        <f>A24+1</f>
        <v>2</v>
      </c>
      <c r="B25" s="166" t="s">
        <v>119</v>
      </c>
      <c r="C25" s="166" t="s">
        <v>120</v>
      </c>
      <c r="D25" s="137">
        <f>1850/1000</f>
        <v>1.85</v>
      </c>
      <c r="E25" s="138">
        <f>36031/1000</f>
        <v>36.03</v>
      </c>
      <c r="F25" s="138"/>
      <c r="G25" s="139"/>
      <c r="H25" s="139">
        <f>SUM(D25:G25)</f>
        <v>37.880000000000003</v>
      </c>
      <c r="I25" s="140"/>
    </row>
    <row r="26" spans="1:9" s="141" customFormat="1" x14ac:dyDescent="0.2">
      <c r="A26" s="142"/>
      <c r="B26" s="143"/>
      <c r="C26" s="143" t="s">
        <v>13</v>
      </c>
      <c r="D26" s="144">
        <f>SUM(D24:D25)</f>
        <v>111.3</v>
      </c>
      <c r="E26" s="144">
        <f>SUM(E24:E25)</f>
        <v>36.03</v>
      </c>
      <c r="F26" s="144">
        <f>SUM(F24:F25)</f>
        <v>0</v>
      </c>
      <c r="G26" s="144">
        <f>SUM(G24:G25)</f>
        <v>0</v>
      </c>
      <c r="H26" s="144">
        <f>SUM(H24:H25)</f>
        <v>147.33000000000001</v>
      </c>
      <c r="I26" s="140"/>
    </row>
    <row r="27" spans="1:9" s="141" customFormat="1" x14ac:dyDescent="0.2">
      <c r="A27" s="142"/>
      <c r="B27" s="143"/>
      <c r="C27" s="143" t="s">
        <v>41</v>
      </c>
      <c r="D27" s="144"/>
      <c r="E27" s="144"/>
      <c r="F27" s="144"/>
      <c r="G27" s="144"/>
      <c r="H27" s="144"/>
      <c r="I27" s="140"/>
    </row>
    <row r="28" spans="1:9" s="141" customFormat="1" x14ac:dyDescent="0.2">
      <c r="A28" s="142"/>
      <c r="B28" s="143"/>
      <c r="C28" s="143" t="s">
        <v>121</v>
      </c>
      <c r="D28" s="144">
        <f>D24+D25</f>
        <v>111.3</v>
      </c>
      <c r="E28" s="144">
        <f>E24+E25</f>
        <v>36.03</v>
      </c>
      <c r="F28" s="144">
        <f>F24+F25</f>
        <v>0</v>
      </c>
      <c r="G28" s="144">
        <f>G24+G25</f>
        <v>0</v>
      </c>
      <c r="H28" s="144">
        <f>H24+H25</f>
        <v>147.33000000000001</v>
      </c>
      <c r="I28" s="140"/>
    </row>
    <row r="29" spans="1:9" s="141" customFormat="1" x14ac:dyDescent="0.2">
      <c r="A29" s="142"/>
      <c r="B29" s="143"/>
      <c r="C29" s="143" t="s">
        <v>122</v>
      </c>
      <c r="D29" s="144"/>
      <c r="E29" s="144"/>
      <c r="F29" s="144"/>
      <c r="G29" s="144"/>
      <c r="H29" s="144">
        <f>SUM(D29:G29)</f>
        <v>0</v>
      </c>
      <c r="I29" s="140"/>
    </row>
    <row r="30" spans="1:9" s="141" customFormat="1" x14ac:dyDescent="0.2">
      <c r="A30" s="142"/>
      <c r="B30" s="143"/>
      <c r="C30" s="143" t="s">
        <v>123</v>
      </c>
      <c r="D30" s="144"/>
      <c r="E30" s="144"/>
      <c r="F30" s="144"/>
      <c r="G30" s="144"/>
      <c r="H30" s="144">
        <f>SUM(D30:G30)</f>
        <v>0</v>
      </c>
      <c r="I30" s="140"/>
    </row>
    <row r="31" spans="1:9" s="141" customFormat="1" x14ac:dyDescent="0.2">
      <c r="A31" s="142"/>
      <c r="B31" s="143"/>
      <c r="C31" s="143" t="s">
        <v>124</v>
      </c>
      <c r="D31" s="144"/>
      <c r="E31" s="144"/>
      <c r="F31" s="144"/>
      <c r="G31" s="144"/>
      <c r="H31" s="144">
        <f>SUM(D31:G31)</f>
        <v>0</v>
      </c>
      <c r="I31" s="140"/>
    </row>
    <row r="32" spans="1:9" ht="15.75" customHeight="1" x14ac:dyDescent="0.2">
      <c r="A32" s="267"/>
      <c r="B32" s="268"/>
      <c r="C32" s="268"/>
      <c r="D32" s="268"/>
      <c r="E32" s="268"/>
      <c r="F32" s="268"/>
      <c r="G32" s="268"/>
      <c r="H32" s="269"/>
    </row>
    <row r="33" spans="1:9" s="141" customFormat="1" ht="12.75" customHeight="1" x14ac:dyDescent="0.2">
      <c r="A33" s="262" t="s">
        <v>14</v>
      </c>
      <c r="B33" s="263"/>
      <c r="C33" s="263"/>
      <c r="D33" s="263"/>
      <c r="E33" s="263"/>
      <c r="F33" s="263"/>
      <c r="G33" s="263"/>
      <c r="H33" s="264"/>
      <c r="I33" s="140"/>
    </row>
    <row r="34" spans="1:9" s="141" customFormat="1" x14ac:dyDescent="0.2">
      <c r="A34" s="136">
        <f>A25+1</f>
        <v>3</v>
      </c>
      <c r="B34" s="166" t="s">
        <v>125</v>
      </c>
      <c r="C34" s="145" t="s">
        <v>126</v>
      </c>
      <c r="D34" s="146">
        <f>13536/1000*0</f>
        <v>0</v>
      </c>
      <c r="E34" s="146">
        <f>445715/1000*0</f>
        <v>0</v>
      </c>
      <c r="F34" s="147">
        <v>0</v>
      </c>
      <c r="G34" s="148"/>
      <c r="H34" s="148">
        <f>SUM(D34:G34)</f>
        <v>0</v>
      </c>
      <c r="I34" s="140"/>
    </row>
    <row r="35" spans="1:9" s="141" customFormat="1" ht="25.5" x14ac:dyDescent="0.2">
      <c r="A35" s="136">
        <f>A34+1</f>
        <v>4</v>
      </c>
      <c r="B35" s="166" t="s">
        <v>127</v>
      </c>
      <c r="C35" s="145" t="s">
        <v>128</v>
      </c>
      <c r="D35" s="146">
        <f>411089/1000</f>
        <v>411.09</v>
      </c>
      <c r="E35" s="146">
        <f>1036/1000</f>
        <v>1.04</v>
      </c>
      <c r="F35" s="147"/>
      <c r="G35" s="148"/>
      <c r="H35" s="148">
        <f>SUM(D35:G35)</f>
        <v>412.13</v>
      </c>
      <c r="I35" s="140"/>
    </row>
    <row r="36" spans="1:9" s="141" customFormat="1" ht="25.5" x14ac:dyDescent="0.2">
      <c r="A36" s="136">
        <f>A35+1</f>
        <v>5</v>
      </c>
      <c r="B36" s="166" t="s">
        <v>129</v>
      </c>
      <c r="C36" s="145" t="s">
        <v>130</v>
      </c>
      <c r="D36" s="146">
        <f>18150/1000</f>
        <v>18.149999999999999</v>
      </c>
      <c r="E36" s="146">
        <f>74910/1000</f>
        <v>74.91</v>
      </c>
      <c r="F36" s="146">
        <v>13813.54</v>
      </c>
      <c r="G36" s="148"/>
      <c r="H36" s="148">
        <f>SUM(D36:G36)</f>
        <v>13906.6</v>
      </c>
      <c r="I36" s="140"/>
    </row>
    <row r="37" spans="1:9" s="141" customFormat="1" ht="38.25" x14ac:dyDescent="0.2">
      <c r="A37" s="136">
        <f>A36+1</f>
        <v>6</v>
      </c>
      <c r="B37" s="166" t="s">
        <v>131</v>
      </c>
      <c r="C37" s="145" t="s">
        <v>132</v>
      </c>
      <c r="D37" s="146"/>
      <c r="E37" s="146">
        <v>0.9</v>
      </c>
      <c r="F37" s="146">
        <v>47.57</v>
      </c>
      <c r="G37" s="148"/>
      <c r="H37" s="148">
        <f>SUM(D37:G37)</f>
        <v>48.47</v>
      </c>
      <c r="I37" s="140"/>
    </row>
    <row r="38" spans="1:9" s="141" customFormat="1" x14ac:dyDescent="0.2">
      <c r="A38" s="136">
        <f>A37+1</f>
        <v>7</v>
      </c>
      <c r="B38" s="166" t="s">
        <v>133</v>
      </c>
      <c r="C38" s="145" t="s">
        <v>134</v>
      </c>
      <c r="D38" s="146">
        <f>132220/1000</f>
        <v>132.22</v>
      </c>
      <c r="E38" s="146">
        <f>261030/1000</f>
        <v>261.02999999999997</v>
      </c>
      <c r="F38" s="149"/>
      <c r="G38" s="148"/>
      <c r="H38" s="148">
        <f>SUM(D38:G38)</f>
        <v>393.25</v>
      </c>
      <c r="I38" s="140"/>
    </row>
    <row r="39" spans="1:9" s="141" customFormat="1" x14ac:dyDescent="0.2">
      <c r="A39" s="142"/>
      <c r="B39" s="143"/>
      <c r="C39" s="143" t="s">
        <v>13</v>
      </c>
      <c r="D39" s="150">
        <f>SUM(D34:D38)</f>
        <v>561.46</v>
      </c>
      <c r="E39" s="150">
        <f>SUM(E34:E38)</f>
        <v>337.88</v>
      </c>
      <c r="F39" s="150">
        <f>SUM(F34:F38)</f>
        <v>13861.11</v>
      </c>
      <c r="G39" s="150">
        <f>SUM(G34:G38)</f>
        <v>0</v>
      </c>
      <c r="H39" s="150">
        <f>SUM(H34:H38)</f>
        <v>14760.45</v>
      </c>
      <c r="I39" s="140"/>
    </row>
    <row r="40" spans="1:9" s="141" customFormat="1" ht="16.149999999999999" customHeight="1" x14ac:dyDescent="0.2">
      <c r="A40" s="142"/>
      <c r="B40" s="143"/>
      <c r="C40" s="143" t="s">
        <v>41</v>
      </c>
      <c r="D40" s="150"/>
      <c r="E40" s="150"/>
      <c r="F40" s="150"/>
      <c r="G40" s="150"/>
      <c r="H40" s="150"/>
      <c r="I40" s="140"/>
    </row>
    <row r="41" spans="1:9" s="141" customFormat="1" x14ac:dyDescent="0.2">
      <c r="A41" s="142"/>
      <c r="B41" s="143"/>
      <c r="C41" s="143" t="s">
        <v>121</v>
      </c>
      <c r="D41" s="150">
        <f>D35+D36+D37+D38</f>
        <v>561.46</v>
      </c>
      <c r="E41" s="150">
        <f>E35+E36+E37+E38</f>
        <v>337.88</v>
      </c>
      <c r="F41" s="150">
        <f>F35+F36+F37+F38</f>
        <v>13861.11</v>
      </c>
      <c r="G41" s="150">
        <f>G35+G36+G37+G38</f>
        <v>0</v>
      </c>
      <c r="H41" s="150">
        <f>H35+H36+H37+H38</f>
        <v>14760.45</v>
      </c>
      <c r="I41" s="140"/>
    </row>
    <row r="42" spans="1:9" s="141" customFormat="1" x14ac:dyDescent="0.2">
      <c r="A42" s="142"/>
      <c r="B42" s="143"/>
      <c r="C42" s="143" t="s">
        <v>122</v>
      </c>
      <c r="D42" s="150"/>
      <c r="E42" s="150"/>
      <c r="F42" s="150"/>
      <c r="G42" s="150"/>
      <c r="H42" s="150">
        <f>SUM(D42:G42)</f>
        <v>0</v>
      </c>
      <c r="I42" s="140"/>
    </row>
    <row r="43" spans="1:9" s="141" customFormat="1" x14ac:dyDescent="0.2">
      <c r="A43" s="142"/>
      <c r="B43" s="143"/>
      <c r="C43" s="143" t="s">
        <v>123</v>
      </c>
      <c r="D43" s="150"/>
      <c r="E43" s="150"/>
      <c r="F43" s="150"/>
      <c r="G43" s="150"/>
      <c r="H43" s="150">
        <f>SUM(D43:G43)</f>
        <v>0</v>
      </c>
      <c r="I43" s="140"/>
    </row>
    <row r="44" spans="1:9" s="141" customFormat="1" x14ac:dyDescent="0.2">
      <c r="A44" s="142"/>
      <c r="B44" s="143"/>
      <c r="C44" s="143" t="s">
        <v>124</v>
      </c>
      <c r="D44" s="150">
        <f>D34</f>
        <v>0</v>
      </c>
      <c r="E44" s="150">
        <f>E34</f>
        <v>0</v>
      </c>
      <c r="F44" s="150">
        <f>F34</f>
        <v>0</v>
      </c>
      <c r="G44" s="150">
        <f>G34</f>
        <v>0</v>
      </c>
      <c r="H44" s="150">
        <f>SUM(D44:G44)</f>
        <v>0</v>
      </c>
      <c r="I44" s="140"/>
    </row>
    <row r="45" spans="1:9" ht="15.75" customHeight="1" x14ac:dyDescent="0.2">
      <c r="A45" s="142"/>
      <c r="B45" s="143"/>
      <c r="C45" s="143"/>
      <c r="D45" s="150"/>
      <c r="E45" s="150"/>
      <c r="F45" s="150"/>
      <c r="G45" s="150"/>
      <c r="H45" s="150"/>
    </row>
    <row r="46" spans="1:9" s="141" customFormat="1" ht="12.75" customHeight="1" x14ac:dyDescent="0.2">
      <c r="A46" s="266" t="s">
        <v>15</v>
      </c>
      <c r="B46" s="266"/>
      <c r="C46" s="266"/>
      <c r="D46" s="266"/>
      <c r="E46" s="266"/>
      <c r="F46" s="266"/>
      <c r="G46" s="266"/>
      <c r="H46" s="266"/>
      <c r="I46" s="140"/>
    </row>
    <row r="47" spans="1:9" s="141" customFormat="1" x14ac:dyDescent="0.2">
      <c r="A47" s="136">
        <f>A38+1</f>
        <v>8</v>
      </c>
      <c r="B47" s="166" t="s">
        <v>16</v>
      </c>
      <c r="C47" s="145" t="s">
        <v>135</v>
      </c>
      <c r="D47" s="151"/>
      <c r="E47" s="146">
        <v>0.47</v>
      </c>
      <c r="F47" s="152">
        <f>16.091</f>
        <v>16.09</v>
      </c>
      <c r="G47" s="148"/>
      <c r="H47" s="148">
        <f>SUM(D47:G47)</f>
        <v>16.559999999999999</v>
      </c>
      <c r="I47" s="140"/>
    </row>
    <row r="48" spans="1:9" s="141" customFormat="1" x14ac:dyDescent="0.2">
      <c r="A48" s="136">
        <f>A47+1</f>
        <v>9</v>
      </c>
      <c r="B48" s="166" t="s">
        <v>17</v>
      </c>
      <c r="C48" s="145" t="s">
        <v>136</v>
      </c>
      <c r="D48" s="146">
        <v>0.53</v>
      </c>
      <c r="E48" s="146">
        <v>67.17</v>
      </c>
      <c r="F48" s="146">
        <f>5.371</f>
        <v>5.37</v>
      </c>
      <c r="G48" s="148"/>
      <c r="H48" s="148">
        <f>SUM(D48:G48)</f>
        <v>73.069999999999993</v>
      </c>
      <c r="I48" s="140"/>
    </row>
    <row r="49" spans="1:9" s="141" customFormat="1" ht="25.5" x14ac:dyDescent="0.2">
      <c r="A49" s="136">
        <f>A48+1</f>
        <v>10</v>
      </c>
      <c r="B49" s="166" t="s">
        <v>137</v>
      </c>
      <c r="C49" s="145" t="s">
        <v>138</v>
      </c>
      <c r="D49" s="146">
        <f>99/1000</f>
        <v>0.1</v>
      </c>
      <c r="E49" s="146">
        <f>3.598</f>
        <v>3.6</v>
      </c>
      <c r="F49" s="146">
        <f>27.002</f>
        <v>27</v>
      </c>
      <c r="G49" s="148"/>
      <c r="H49" s="148">
        <f>SUM(D49:G49)</f>
        <v>30.7</v>
      </c>
      <c r="I49" s="140"/>
    </row>
    <row r="50" spans="1:9" s="141" customFormat="1" x14ac:dyDescent="0.2">
      <c r="A50" s="136">
        <f>A49+1</f>
        <v>11</v>
      </c>
      <c r="B50" s="166" t="s">
        <v>18</v>
      </c>
      <c r="C50" s="145" t="s">
        <v>139</v>
      </c>
      <c r="D50" s="153"/>
      <c r="E50" s="146">
        <f>2886/1000</f>
        <v>2.89</v>
      </c>
      <c r="F50" s="146">
        <f>ROUNDDOWN(1670687/1000,2)</f>
        <v>1670.68</v>
      </c>
      <c r="G50" s="148"/>
      <c r="H50" s="148">
        <f>SUM(D50:G50)</f>
        <v>1673.57</v>
      </c>
      <c r="I50" s="140"/>
    </row>
    <row r="51" spans="1:9" s="141" customFormat="1" ht="25.5" x14ac:dyDescent="0.2">
      <c r="A51" s="136">
        <f>A50+1</f>
        <v>12</v>
      </c>
      <c r="B51" s="166" t="s">
        <v>19</v>
      </c>
      <c r="C51" s="145" t="s">
        <v>140</v>
      </c>
      <c r="D51" s="152">
        <f>81667/1000</f>
        <v>81.67</v>
      </c>
      <c r="E51" s="149"/>
      <c r="F51" s="149"/>
      <c r="G51" s="148"/>
      <c r="H51" s="148">
        <f>SUM(D51:G51)</f>
        <v>81.67</v>
      </c>
      <c r="I51" s="140"/>
    </row>
    <row r="52" spans="1:9" s="141" customFormat="1" x14ac:dyDescent="0.2">
      <c r="A52" s="142"/>
      <c r="B52" s="143"/>
      <c r="C52" s="143" t="s">
        <v>13</v>
      </c>
      <c r="D52" s="144">
        <f>SUM(D47:D51)</f>
        <v>82.3</v>
      </c>
      <c r="E52" s="144">
        <f>ROUNDUP(SUM(E47:E51),2)</f>
        <v>74.13</v>
      </c>
      <c r="F52" s="144">
        <f>SUM(F47:F51)</f>
        <v>1719.14</v>
      </c>
      <c r="G52" s="144">
        <f>SUM(G47:G51)</f>
        <v>0</v>
      </c>
      <c r="H52" s="144">
        <f>SUM(H47:H51)</f>
        <v>1875.57</v>
      </c>
      <c r="I52" s="140"/>
    </row>
    <row r="53" spans="1:9" s="141" customFormat="1" x14ac:dyDescent="0.2">
      <c r="A53" s="142"/>
      <c r="B53" s="143"/>
      <c r="C53" s="143" t="s">
        <v>41</v>
      </c>
      <c r="D53" s="154"/>
      <c r="E53" s="154"/>
      <c r="F53" s="154"/>
      <c r="G53" s="154"/>
      <c r="H53" s="154"/>
      <c r="I53" s="140"/>
    </row>
    <row r="54" spans="1:9" s="141" customFormat="1" x14ac:dyDescent="0.2">
      <c r="A54" s="142"/>
      <c r="B54" s="143"/>
      <c r="C54" s="143" t="s">
        <v>121</v>
      </c>
      <c r="D54" s="144">
        <f>D47+D48+D49+D51+D50</f>
        <v>82.3</v>
      </c>
      <c r="E54" s="144">
        <f>ROUNDUP(E47+E48+E49+E51+E50,2)</f>
        <v>74.13</v>
      </c>
      <c r="F54" s="144">
        <f>F47+F48+F49+F51+F50</f>
        <v>1719.14</v>
      </c>
      <c r="G54" s="144">
        <f>G47+G48+G49+G51+G50</f>
        <v>0</v>
      </c>
      <c r="H54" s="144">
        <f>SUM(D54:G54)</f>
        <v>1875.57</v>
      </c>
      <c r="I54" s="140"/>
    </row>
    <row r="55" spans="1:9" s="141" customFormat="1" x14ac:dyDescent="0.2">
      <c r="A55" s="142"/>
      <c r="B55" s="143"/>
      <c r="C55" s="143" t="s">
        <v>122</v>
      </c>
      <c r="D55" s="144"/>
      <c r="E55" s="144"/>
      <c r="F55" s="144"/>
      <c r="G55" s="144"/>
      <c r="H55" s="144"/>
      <c r="I55" s="140"/>
    </row>
    <row r="56" spans="1:9" s="141" customFormat="1" x14ac:dyDescent="0.2">
      <c r="A56" s="142"/>
      <c r="B56" s="143"/>
      <c r="C56" s="143" t="s">
        <v>123</v>
      </c>
      <c r="D56" s="154"/>
      <c r="E56" s="144"/>
      <c r="F56" s="144"/>
      <c r="G56" s="144"/>
      <c r="H56" s="144">
        <f>SUM(D56:G56)</f>
        <v>0</v>
      </c>
      <c r="I56" s="140"/>
    </row>
    <row r="57" spans="1:9" s="141" customFormat="1" x14ac:dyDescent="0.2">
      <c r="A57" s="142"/>
      <c r="B57" s="143"/>
      <c r="C57" s="143" t="s">
        <v>124</v>
      </c>
      <c r="D57" s="154"/>
      <c r="E57" s="154"/>
      <c r="F57" s="154"/>
      <c r="G57" s="154"/>
      <c r="H57" s="144">
        <f>SUM(D57:G57)</f>
        <v>0</v>
      </c>
      <c r="I57" s="140"/>
    </row>
    <row r="58" spans="1:9" s="141" customFormat="1" ht="12.75" customHeight="1" x14ac:dyDescent="0.2">
      <c r="A58" s="266" t="s">
        <v>20</v>
      </c>
      <c r="B58" s="266"/>
      <c r="C58" s="266"/>
      <c r="D58" s="266"/>
      <c r="E58" s="266"/>
      <c r="F58" s="266"/>
      <c r="G58" s="266"/>
      <c r="H58" s="266"/>
      <c r="I58" s="140"/>
    </row>
    <row r="59" spans="1:9" s="141" customFormat="1" ht="12.75" customHeight="1" x14ac:dyDescent="0.2">
      <c r="A59" s="155">
        <f>A51+1</f>
        <v>13</v>
      </c>
      <c r="B59" s="166" t="s">
        <v>141</v>
      </c>
      <c r="C59" s="145" t="s">
        <v>142</v>
      </c>
      <c r="D59" s="146">
        <f>2470/1000</f>
        <v>2.4700000000000002</v>
      </c>
      <c r="E59" s="146">
        <f>117667/1000</f>
        <v>117.67</v>
      </c>
      <c r="F59" s="149"/>
      <c r="G59" s="148"/>
      <c r="H59" s="148">
        <f>SUM(D59:G59)</f>
        <v>120.14</v>
      </c>
      <c r="I59" s="140"/>
    </row>
    <row r="60" spans="1:9" s="141" customFormat="1" x14ac:dyDescent="0.2">
      <c r="A60" s="136">
        <f>A59+1</f>
        <v>14</v>
      </c>
      <c r="B60" s="166" t="s">
        <v>21</v>
      </c>
      <c r="C60" s="145" t="s">
        <v>143</v>
      </c>
      <c r="D60" s="146">
        <f>46313/1000</f>
        <v>46.31</v>
      </c>
      <c r="E60" s="149"/>
      <c r="F60" s="149"/>
      <c r="G60" s="148"/>
      <c r="H60" s="148">
        <f>SUM(D60:G60)</f>
        <v>46.31</v>
      </c>
      <c r="I60" s="140"/>
    </row>
    <row r="61" spans="1:9" s="141" customFormat="1" x14ac:dyDescent="0.2">
      <c r="A61" s="136"/>
      <c r="I61" s="140"/>
    </row>
    <row r="62" spans="1:9" s="141" customFormat="1" x14ac:dyDescent="0.2">
      <c r="A62" s="136"/>
      <c r="B62" s="166"/>
      <c r="C62" s="145"/>
      <c r="D62" s="146"/>
      <c r="E62" s="149"/>
      <c r="F62" s="149"/>
      <c r="G62" s="148"/>
      <c r="H62" s="148"/>
      <c r="I62" s="140"/>
    </row>
    <row r="63" spans="1:9" s="141" customFormat="1" x14ac:dyDescent="0.2">
      <c r="A63" s="142"/>
      <c r="B63" s="143"/>
      <c r="C63" s="143" t="s">
        <v>13</v>
      </c>
      <c r="D63" s="150">
        <f>SUM(D59:D60)</f>
        <v>48.78</v>
      </c>
      <c r="E63" s="150">
        <f t="shared" ref="E63:G63" si="0">SUM(E59:E60)</f>
        <v>117.67</v>
      </c>
      <c r="F63" s="150">
        <f t="shared" si="0"/>
        <v>0</v>
      </c>
      <c r="G63" s="150">
        <f t="shared" si="0"/>
        <v>0</v>
      </c>
      <c r="H63" s="150">
        <f>SUM(D63:G63)</f>
        <v>166.45</v>
      </c>
      <c r="I63" s="140"/>
    </row>
    <row r="64" spans="1:9" s="141" customFormat="1" x14ac:dyDescent="0.2">
      <c r="A64" s="142"/>
      <c r="B64" s="143"/>
      <c r="C64" s="143" t="s">
        <v>41</v>
      </c>
      <c r="D64" s="150"/>
      <c r="E64" s="150"/>
      <c r="F64" s="150"/>
      <c r="G64" s="150"/>
      <c r="H64" s="150"/>
      <c r="I64" s="140"/>
    </row>
    <row r="65" spans="1:9" s="141" customFormat="1" x14ac:dyDescent="0.2">
      <c r="A65" s="142"/>
      <c r="B65" s="143"/>
      <c r="C65" s="143" t="s">
        <v>121</v>
      </c>
      <c r="D65" s="150">
        <f>D63</f>
        <v>48.78</v>
      </c>
      <c r="E65" s="150">
        <f>E63</f>
        <v>117.67</v>
      </c>
      <c r="F65" s="150">
        <f>F63</f>
        <v>0</v>
      </c>
      <c r="G65" s="150">
        <f>G63</f>
        <v>0</v>
      </c>
      <c r="H65" s="150">
        <f>SUM(D65:G65)</f>
        <v>166.45</v>
      </c>
      <c r="I65" s="140"/>
    </row>
    <row r="66" spans="1:9" s="141" customFormat="1" x14ac:dyDescent="0.2">
      <c r="A66" s="142"/>
      <c r="B66" s="143"/>
      <c r="C66" s="143" t="s">
        <v>122</v>
      </c>
      <c r="D66" s="150"/>
      <c r="E66" s="150"/>
      <c r="F66" s="150"/>
      <c r="G66" s="150"/>
      <c r="H66" s="150">
        <f>SUM(D66:G66)</f>
        <v>0</v>
      </c>
      <c r="I66" s="140"/>
    </row>
    <row r="67" spans="1:9" s="141" customFormat="1" x14ac:dyDescent="0.2">
      <c r="A67" s="142"/>
      <c r="B67" s="143"/>
      <c r="C67" s="143" t="s">
        <v>123</v>
      </c>
      <c r="D67" s="150"/>
      <c r="E67" s="150"/>
      <c r="F67" s="150"/>
      <c r="G67" s="150"/>
      <c r="H67" s="150">
        <f>SUM(D67:G67)</f>
        <v>0</v>
      </c>
      <c r="I67" s="140"/>
    </row>
    <row r="68" spans="1:9" s="141" customFormat="1" x14ac:dyDescent="0.2">
      <c r="A68" s="142"/>
      <c r="B68" s="143"/>
      <c r="C68" s="143" t="s">
        <v>124</v>
      </c>
      <c r="D68" s="150"/>
      <c r="E68" s="150"/>
      <c r="F68" s="150"/>
      <c r="G68" s="150"/>
      <c r="H68" s="150">
        <f>SUM(D68:G68)</f>
        <v>0</v>
      </c>
      <c r="I68" s="140"/>
    </row>
    <row r="69" spans="1:9" s="141" customFormat="1" x14ac:dyDescent="0.2">
      <c r="A69" s="142"/>
      <c r="B69" s="143"/>
      <c r="C69" s="143" t="s">
        <v>22</v>
      </c>
      <c r="D69" s="150">
        <f>D26+D39+D52+D63</f>
        <v>803.84</v>
      </c>
      <c r="E69" s="150">
        <f>ROUNDUP(E26+E39+E52+E63,2)</f>
        <v>565.71</v>
      </c>
      <c r="F69" s="150">
        <f>F26+F39+F52+F63</f>
        <v>15580.25</v>
      </c>
      <c r="G69" s="150">
        <f>G26+G39+G52+G63</f>
        <v>0</v>
      </c>
      <c r="H69" s="150">
        <f>D69+E69+F69+G69</f>
        <v>16949.8</v>
      </c>
      <c r="I69" s="140"/>
    </row>
    <row r="70" spans="1:9" s="141" customFormat="1" x14ac:dyDescent="0.2">
      <c r="A70" s="142"/>
      <c r="B70" s="143"/>
      <c r="C70" s="143" t="s">
        <v>41</v>
      </c>
      <c r="D70" s="150"/>
      <c r="E70" s="150"/>
      <c r="F70" s="150"/>
      <c r="G70" s="150"/>
      <c r="H70" s="150"/>
      <c r="I70" s="140"/>
    </row>
    <row r="71" spans="1:9" s="141" customFormat="1" x14ac:dyDescent="0.2">
      <c r="A71" s="142"/>
      <c r="B71" s="143"/>
      <c r="C71" s="143" t="s">
        <v>121</v>
      </c>
      <c r="D71" s="150">
        <f>D28+D41+D54+D65</f>
        <v>803.84</v>
      </c>
      <c r="E71" s="150">
        <f>ROUNDUP(E28+E41+E54+E65,2)</f>
        <v>565.71</v>
      </c>
      <c r="F71" s="150">
        <f>F28+F41+F54+F65</f>
        <v>15580.25</v>
      </c>
      <c r="G71" s="150">
        <f>G28+G41+G54+G65</f>
        <v>0</v>
      </c>
      <c r="H71" s="150">
        <f>SUM(D71:G71)</f>
        <v>16949.8</v>
      </c>
      <c r="I71" s="140"/>
    </row>
    <row r="72" spans="1:9" s="141" customFormat="1" x14ac:dyDescent="0.2">
      <c r="A72" s="142"/>
      <c r="B72" s="143"/>
      <c r="C72" s="143" t="s">
        <v>122</v>
      </c>
      <c r="D72" s="150">
        <f>D29+D42+D55+D66</f>
        <v>0</v>
      </c>
      <c r="E72" s="150">
        <f>E29+E42+E55+E66</f>
        <v>0</v>
      </c>
      <c r="F72" s="150">
        <f>F29+F42+F55+F66</f>
        <v>0</v>
      </c>
      <c r="G72" s="150">
        <f>G29+G42+G55+G66</f>
        <v>0</v>
      </c>
      <c r="H72" s="150">
        <f>SUM(D72:G72)</f>
        <v>0</v>
      </c>
      <c r="I72" s="140"/>
    </row>
    <row r="73" spans="1:9" s="141" customFormat="1" x14ac:dyDescent="0.2">
      <c r="A73" s="142"/>
      <c r="B73" s="143"/>
      <c r="C73" s="143" t="s">
        <v>123</v>
      </c>
      <c r="D73" s="150"/>
      <c r="E73" s="150"/>
      <c r="F73" s="150"/>
      <c r="G73" s="150"/>
      <c r="H73" s="150">
        <f>SUM(D73:G73)</f>
        <v>0</v>
      </c>
      <c r="I73" s="140"/>
    </row>
    <row r="74" spans="1:9" s="141" customFormat="1" x14ac:dyDescent="0.2">
      <c r="A74" s="142"/>
      <c r="B74" s="143"/>
      <c r="C74" s="143" t="s">
        <v>124</v>
      </c>
      <c r="D74" s="150">
        <f>D31+D44+D57+D68</f>
        <v>0</v>
      </c>
      <c r="E74" s="150">
        <f>E31+E44+E57+E68</f>
        <v>0</v>
      </c>
      <c r="F74" s="150">
        <f>F31+F44+F57+F68</f>
        <v>0</v>
      </c>
      <c r="G74" s="150">
        <f>G31+G44+G57+G68</f>
        <v>0</v>
      </c>
      <c r="H74" s="150">
        <f>SUM(D74:G74)</f>
        <v>0</v>
      </c>
      <c r="I74" s="140"/>
    </row>
    <row r="75" spans="1:9" ht="15.75" customHeight="1" x14ac:dyDescent="0.2">
      <c r="A75" s="270"/>
      <c r="B75" s="270"/>
      <c r="C75" s="270"/>
      <c r="D75" s="270"/>
      <c r="E75" s="270"/>
      <c r="F75" s="270"/>
      <c r="G75" s="270"/>
      <c r="H75" s="270"/>
    </row>
    <row r="76" spans="1:9" s="141" customFormat="1" ht="12.75" customHeight="1" x14ac:dyDescent="0.2">
      <c r="A76" s="266" t="s">
        <v>23</v>
      </c>
      <c r="B76" s="266"/>
      <c r="C76" s="266"/>
      <c r="D76" s="266"/>
      <c r="E76" s="266"/>
      <c r="F76" s="266"/>
      <c r="G76" s="266"/>
      <c r="H76" s="266"/>
      <c r="I76" s="140"/>
    </row>
    <row r="77" spans="1:9" s="141" customFormat="1" ht="25.5" x14ac:dyDescent="0.2">
      <c r="A77" s="136">
        <f>A60+1</f>
        <v>15</v>
      </c>
      <c r="B77" s="166" t="s">
        <v>24</v>
      </c>
      <c r="C77" s="166" t="s">
        <v>144</v>
      </c>
      <c r="D77" s="156">
        <f>ROUNDDOWN(D71*3.12/100,3)-0.01</f>
        <v>25.07</v>
      </c>
      <c r="E77" s="156">
        <f>ROUNDDOWN(E71*3.12/100,3)-0.01</f>
        <v>17.64</v>
      </c>
      <c r="F77" s="138"/>
      <c r="G77" s="139"/>
      <c r="H77" s="139">
        <f>SUM(D77:G77)</f>
        <v>42.71</v>
      </c>
      <c r="I77" s="140"/>
    </row>
    <row r="78" spans="1:9" s="141" customFormat="1" x14ac:dyDescent="0.2">
      <c r="A78" s="142"/>
      <c r="B78" s="143"/>
      <c r="C78" s="143" t="s">
        <v>13</v>
      </c>
      <c r="D78" s="144">
        <f>D77</f>
        <v>25.07</v>
      </c>
      <c r="E78" s="144">
        <f>E77</f>
        <v>17.64</v>
      </c>
      <c r="F78" s="144">
        <f>SUM(F77:F77)</f>
        <v>0</v>
      </c>
      <c r="G78" s="144">
        <f>SUM(G77:G77)</f>
        <v>0</v>
      </c>
      <c r="H78" s="144">
        <f>SUM(D78:G78)</f>
        <v>42.71</v>
      </c>
      <c r="I78" s="140"/>
    </row>
    <row r="79" spans="1:9" s="141" customFormat="1" x14ac:dyDescent="0.2">
      <c r="A79" s="142"/>
      <c r="B79" s="143"/>
      <c r="C79" s="143" t="s">
        <v>41</v>
      </c>
      <c r="D79" s="144"/>
      <c r="E79" s="144"/>
      <c r="F79" s="144"/>
      <c r="G79" s="144"/>
      <c r="H79" s="144"/>
      <c r="I79" s="140"/>
    </row>
    <row r="80" spans="1:9" s="141" customFormat="1" x14ac:dyDescent="0.2">
      <c r="A80" s="142"/>
      <c r="B80" s="143"/>
      <c r="C80" s="143" t="s">
        <v>121</v>
      </c>
      <c r="D80" s="144">
        <f>D77</f>
        <v>25.07</v>
      </c>
      <c r="E80" s="144">
        <f>E77</f>
        <v>17.64</v>
      </c>
      <c r="F80" s="144">
        <f>F77</f>
        <v>0</v>
      </c>
      <c r="G80" s="144">
        <f>G77</f>
        <v>0</v>
      </c>
      <c r="H80" s="144">
        <f>SUM(D80:G80)</f>
        <v>42.71</v>
      </c>
      <c r="I80" s="140"/>
    </row>
    <row r="81" spans="1:9" s="141" customFormat="1" x14ac:dyDescent="0.2">
      <c r="A81" s="142"/>
      <c r="B81" s="143"/>
      <c r="C81" s="143" t="s">
        <v>122</v>
      </c>
      <c r="D81" s="144">
        <v>0</v>
      </c>
      <c r="E81" s="144">
        <v>0</v>
      </c>
      <c r="F81" s="144">
        <v>0</v>
      </c>
      <c r="G81" s="144">
        <v>0</v>
      </c>
      <c r="H81" s="144">
        <f>SUM(D81:G81)</f>
        <v>0</v>
      </c>
      <c r="I81" s="140"/>
    </row>
    <row r="82" spans="1:9" s="141" customFormat="1" x14ac:dyDescent="0.2">
      <c r="A82" s="142"/>
      <c r="B82" s="143"/>
      <c r="C82" s="143" t="s">
        <v>123</v>
      </c>
      <c r="D82" s="144">
        <v>0</v>
      </c>
      <c r="E82" s="144">
        <v>0</v>
      </c>
      <c r="F82" s="144">
        <v>0</v>
      </c>
      <c r="G82" s="144">
        <v>0</v>
      </c>
      <c r="H82" s="144">
        <f>SUM(D82:G82)</f>
        <v>0</v>
      </c>
      <c r="I82" s="140"/>
    </row>
    <row r="83" spans="1:9" s="141" customFormat="1" x14ac:dyDescent="0.2">
      <c r="A83" s="142"/>
      <c r="B83" s="143"/>
      <c r="C83" s="143" t="s">
        <v>124</v>
      </c>
      <c r="D83" s="144">
        <v>0</v>
      </c>
      <c r="E83" s="144">
        <v>0</v>
      </c>
      <c r="F83" s="144">
        <v>0</v>
      </c>
      <c r="G83" s="144">
        <v>0</v>
      </c>
      <c r="H83" s="144">
        <f>SUM(D83:G83)</f>
        <v>0</v>
      </c>
      <c r="I83" s="140"/>
    </row>
    <row r="84" spans="1:9" s="141" customFormat="1" x14ac:dyDescent="0.2">
      <c r="A84" s="142"/>
      <c r="B84" s="143"/>
      <c r="C84" s="143" t="s">
        <v>26</v>
      </c>
      <c r="D84" s="144">
        <f>D69+D78</f>
        <v>828.91</v>
      </c>
      <c r="E84" s="144">
        <f>E69+E78</f>
        <v>583.35</v>
      </c>
      <c r="F84" s="144">
        <f>F69+F78</f>
        <v>15580.25</v>
      </c>
      <c r="G84" s="144">
        <f>G69+G78</f>
        <v>0</v>
      </c>
      <c r="H84" s="144">
        <f>SUM(D84:G84)</f>
        <v>16992.509999999998</v>
      </c>
      <c r="I84" s="140"/>
    </row>
    <row r="85" spans="1:9" s="141" customFormat="1" x14ac:dyDescent="0.2">
      <c r="A85" s="142"/>
      <c r="B85" s="143"/>
      <c r="C85" s="143" t="s">
        <v>41</v>
      </c>
      <c r="D85" s="144"/>
      <c r="E85" s="144"/>
      <c r="F85" s="144"/>
      <c r="G85" s="144"/>
      <c r="H85" s="144"/>
      <c r="I85" s="140"/>
    </row>
    <row r="86" spans="1:9" s="141" customFormat="1" x14ac:dyDescent="0.2">
      <c r="A86" s="142"/>
      <c r="B86" s="143"/>
      <c r="C86" s="143" t="s">
        <v>121</v>
      </c>
      <c r="D86" s="144">
        <f t="shared" ref="D86:G89" si="1">D71+D80</f>
        <v>828.91</v>
      </c>
      <c r="E86" s="144">
        <f t="shared" si="1"/>
        <v>583.35</v>
      </c>
      <c r="F86" s="144">
        <f t="shared" si="1"/>
        <v>15580.25</v>
      </c>
      <c r="G86" s="144">
        <f t="shared" si="1"/>
        <v>0</v>
      </c>
      <c r="H86" s="144">
        <f>SUM(D86:G86)</f>
        <v>16992.509999999998</v>
      </c>
      <c r="I86" s="140"/>
    </row>
    <row r="87" spans="1:9" s="141" customFormat="1" x14ac:dyDescent="0.2">
      <c r="A87" s="142"/>
      <c r="B87" s="143"/>
      <c r="C87" s="143" t="s">
        <v>122</v>
      </c>
      <c r="D87" s="144">
        <f t="shared" si="1"/>
        <v>0</v>
      </c>
      <c r="E87" s="144">
        <f t="shared" si="1"/>
        <v>0</v>
      </c>
      <c r="F87" s="144">
        <f t="shared" si="1"/>
        <v>0</v>
      </c>
      <c r="G87" s="144">
        <f t="shared" si="1"/>
        <v>0</v>
      </c>
      <c r="H87" s="144">
        <f>SUM(D87:G87)</f>
        <v>0</v>
      </c>
      <c r="I87" s="140"/>
    </row>
    <row r="88" spans="1:9" s="141" customFormat="1" x14ac:dyDescent="0.2">
      <c r="A88" s="142"/>
      <c r="B88" s="143"/>
      <c r="C88" s="143" t="s">
        <v>123</v>
      </c>
      <c r="D88" s="144">
        <f t="shared" si="1"/>
        <v>0</v>
      </c>
      <c r="E88" s="144">
        <f t="shared" si="1"/>
        <v>0</v>
      </c>
      <c r="F88" s="144">
        <f t="shared" si="1"/>
        <v>0</v>
      </c>
      <c r="G88" s="144">
        <f t="shared" si="1"/>
        <v>0</v>
      </c>
      <c r="H88" s="144">
        <f>SUM(D88:G88)</f>
        <v>0</v>
      </c>
      <c r="I88" s="140"/>
    </row>
    <row r="89" spans="1:9" s="141" customFormat="1" x14ac:dyDescent="0.2">
      <c r="A89" s="142"/>
      <c r="B89" s="143"/>
      <c r="C89" s="143" t="s">
        <v>124</v>
      </c>
      <c r="D89" s="144">
        <f t="shared" si="1"/>
        <v>0</v>
      </c>
      <c r="E89" s="144">
        <f t="shared" si="1"/>
        <v>0</v>
      </c>
      <c r="F89" s="144">
        <f t="shared" si="1"/>
        <v>0</v>
      </c>
      <c r="G89" s="144">
        <f t="shared" si="1"/>
        <v>0</v>
      </c>
      <c r="H89" s="144">
        <f>SUM(D89:G89)</f>
        <v>0</v>
      </c>
      <c r="I89" s="140"/>
    </row>
    <row r="90" spans="1:9" ht="15.75" customHeight="1" x14ac:dyDescent="0.2">
      <c r="A90" s="270"/>
      <c r="B90" s="270"/>
      <c r="C90" s="270"/>
      <c r="D90" s="270"/>
      <c r="E90" s="270"/>
      <c r="F90" s="270"/>
      <c r="G90" s="270"/>
      <c r="H90" s="270"/>
    </row>
    <row r="91" spans="1:9" s="141" customFormat="1" ht="12.75" customHeight="1" x14ac:dyDescent="0.2">
      <c r="A91" s="266" t="s">
        <v>27</v>
      </c>
      <c r="B91" s="266"/>
      <c r="C91" s="266"/>
      <c r="D91" s="266"/>
      <c r="E91" s="266"/>
      <c r="F91" s="266"/>
      <c r="G91" s="266"/>
      <c r="H91" s="266"/>
      <c r="I91" s="140"/>
    </row>
    <row r="92" spans="1:9" s="141" customFormat="1" ht="25.5" x14ac:dyDescent="0.2">
      <c r="A92" s="136">
        <f>A77+1</f>
        <v>16</v>
      </c>
      <c r="B92" s="166" t="s">
        <v>28</v>
      </c>
      <c r="C92" s="145" t="s">
        <v>145</v>
      </c>
      <c r="D92" s="156">
        <f>ROUND(D86*4.73/100,3)+0.02</f>
        <v>39.229999999999997</v>
      </c>
      <c r="E92" s="156">
        <f>ROUND(E86*4.73/100,3)+0.02</f>
        <v>27.61</v>
      </c>
      <c r="F92" s="138"/>
      <c r="G92" s="139"/>
      <c r="H92" s="139">
        <f>SUM(D92:G92)</f>
        <v>66.84</v>
      </c>
      <c r="I92" s="140"/>
    </row>
    <row r="93" spans="1:9" s="141" customFormat="1" ht="25.5" x14ac:dyDescent="0.2">
      <c r="A93" s="136">
        <f>A92+1</f>
        <v>17</v>
      </c>
      <c r="B93" s="166" t="s">
        <v>29</v>
      </c>
      <c r="C93" s="166" t="s">
        <v>146</v>
      </c>
      <c r="D93" s="156">
        <f>ROUND(D86*0.4/100,3)+0.02</f>
        <v>3.34</v>
      </c>
      <c r="E93" s="156">
        <f>ROUND(E86*0.4/100,3)+0.01</f>
        <v>2.34</v>
      </c>
      <c r="F93" s="138"/>
      <c r="G93" s="139"/>
      <c r="H93" s="139">
        <f>SUM(D93:G93)</f>
        <v>5.68</v>
      </c>
      <c r="I93" s="140"/>
    </row>
    <row r="94" spans="1:9" s="141" customFormat="1" x14ac:dyDescent="0.2">
      <c r="A94" s="136">
        <f>A93+1</f>
        <v>18</v>
      </c>
      <c r="B94" s="166" t="s">
        <v>31</v>
      </c>
      <c r="C94" s="166" t="s">
        <v>147</v>
      </c>
      <c r="D94" s="156"/>
      <c r="E94" s="138"/>
      <c r="F94" s="138"/>
      <c r="G94" s="139">
        <f>(155156/1000)+0.03</f>
        <v>155.19</v>
      </c>
      <c r="H94" s="139">
        <f t="shared" ref="H94:H97" si="2">SUM(D94:G94)</f>
        <v>155.19</v>
      </c>
      <c r="I94" s="140"/>
    </row>
    <row r="95" spans="1:9" s="141" customFormat="1" x14ac:dyDescent="0.2">
      <c r="A95" s="136">
        <f>A94+1</f>
        <v>19</v>
      </c>
      <c r="B95" s="166" t="s">
        <v>148</v>
      </c>
      <c r="C95" s="166" t="s">
        <v>149</v>
      </c>
      <c r="D95" s="156"/>
      <c r="E95" s="138"/>
      <c r="F95" s="138"/>
      <c r="G95" s="139">
        <f>0.97+0.01</f>
        <v>0.98</v>
      </c>
      <c r="H95" s="139">
        <f t="shared" si="2"/>
        <v>0.98</v>
      </c>
      <c r="I95" s="140"/>
    </row>
    <row r="96" spans="1:9" s="141" customFormat="1" x14ac:dyDescent="0.2">
      <c r="A96" s="136">
        <f t="shared" ref="A96:A97" si="3">A95+1</f>
        <v>20</v>
      </c>
      <c r="B96" s="166" t="s">
        <v>150</v>
      </c>
      <c r="C96" s="166" t="s">
        <v>151</v>
      </c>
      <c r="D96" s="156"/>
      <c r="E96" s="138"/>
      <c r="F96" s="138"/>
      <c r="G96" s="139">
        <f>0.97+0.01</f>
        <v>0.98</v>
      </c>
      <c r="H96" s="139">
        <f t="shared" si="2"/>
        <v>0.98</v>
      </c>
      <c r="I96" s="140"/>
    </row>
    <row r="97" spans="1:9" s="141" customFormat="1" ht="76.5" x14ac:dyDescent="0.2">
      <c r="A97" s="136">
        <f t="shared" si="3"/>
        <v>21</v>
      </c>
      <c r="B97" s="166" t="s">
        <v>32</v>
      </c>
      <c r="C97" s="166" t="s">
        <v>33</v>
      </c>
      <c r="D97" s="156"/>
      <c r="E97" s="138"/>
      <c r="F97" s="138"/>
      <c r="G97" s="137">
        <f>ROUND(SUM(D106:E106)*2.75/100,3)+0.03</f>
        <v>40.86</v>
      </c>
      <c r="H97" s="139">
        <f t="shared" si="2"/>
        <v>40.86</v>
      </c>
      <c r="I97" s="140"/>
    </row>
    <row r="98" spans="1:9" s="141" customFormat="1" x14ac:dyDescent="0.2">
      <c r="A98" s="142"/>
      <c r="B98" s="143"/>
      <c r="C98" s="143" t="s">
        <v>13</v>
      </c>
      <c r="D98" s="144">
        <f>SUM(D92:D97)</f>
        <v>42.57</v>
      </c>
      <c r="E98" s="144">
        <f>SUM(E92:E97)</f>
        <v>29.95</v>
      </c>
      <c r="F98" s="144">
        <f>SUM(F92:F97)</f>
        <v>0</v>
      </c>
      <c r="G98" s="144">
        <f>SUM(G92:G97)</f>
        <v>198.01</v>
      </c>
      <c r="H98" s="144">
        <f>SUM(D98:G98)</f>
        <v>270.52999999999997</v>
      </c>
      <c r="I98" s="140"/>
    </row>
    <row r="99" spans="1:9" s="141" customFormat="1" x14ac:dyDescent="0.2">
      <c r="A99" s="142"/>
      <c r="B99" s="143"/>
      <c r="C99" s="143" t="s">
        <v>41</v>
      </c>
      <c r="D99" s="144"/>
      <c r="E99" s="144"/>
      <c r="F99" s="144"/>
      <c r="G99" s="144"/>
      <c r="H99" s="144"/>
      <c r="I99" s="140"/>
    </row>
    <row r="100" spans="1:9" s="141" customFormat="1" x14ac:dyDescent="0.2">
      <c r="A100" s="142"/>
      <c r="B100" s="143"/>
      <c r="C100" s="143" t="s">
        <v>121</v>
      </c>
      <c r="D100" s="144">
        <f>D92+D93+D94+D95+D96+D97</f>
        <v>42.57</v>
      </c>
      <c r="E100" s="144">
        <f>E92+E93+E94+E95+E96+E97</f>
        <v>29.95</v>
      </c>
      <c r="F100" s="144">
        <f>F92+F93+F94+F95+F96+F97</f>
        <v>0</v>
      </c>
      <c r="G100" s="144">
        <f>G92+G93+G94+G95+G96+G97</f>
        <v>198.01</v>
      </c>
      <c r="H100" s="144">
        <f>H92+H93+H94+H95+H96+H97</f>
        <v>270.52999999999997</v>
      </c>
      <c r="I100" s="140"/>
    </row>
    <row r="101" spans="1:9" s="141" customFormat="1" x14ac:dyDescent="0.2">
      <c r="A101" s="142"/>
      <c r="B101" s="143"/>
      <c r="C101" s="143" t="s">
        <v>122</v>
      </c>
      <c r="D101" s="144">
        <f>D94+D97</f>
        <v>0</v>
      </c>
      <c r="E101" s="144">
        <f t="shared" ref="E101:F101" si="4">E94+E97</f>
        <v>0</v>
      </c>
      <c r="F101" s="144">
        <f t="shared" si="4"/>
        <v>0</v>
      </c>
      <c r="G101" s="144">
        <v>0</v>
      </c>
      <c r="H101" s="144">
        <f>SUM(D101:G101)</f>
        <v>0</v>
      </c>
      <c r="I101" s="140"/>
    </row>
    <row r="102" spans="1:9" s="141" customFormat="1" x14ac:dyDescent="0.2">
      <c r="A102" s="142"/>
      <c r="B102" s="143"/>
      <c r="C102" s="143" t="s">
        <v>123</v>
      </c>
      <c r="D102" s="144">
        <v>0</v>
      </c>
      <c r="E102" s="144">
        <v>0</v>
      </c>
      <c r="F102" s="144">
        <v>0</v>
      </c>
      <c r="G102" s="144"/>
      <c r="H102" s="144">
        <f>SUM(D102:G102)</f>
        <v>0</v>
      </c>
      <c r="I102" s="140"/>
    </row>
    <row r="103" spans="1:9" s="141" customFormat="1" x14ac:dyDescent="0.2">
      <c r="A103" s="142"/>
      <c r="B103" s="143"/>
      <c r="C103" s="143" t="s">
        <v>124</v>
      </c>
      <c r="D103" s="144">
        <v>0</v>
      </c>
      <c r="E103" s="144">
        <v>0</v>
      </c>
      <c r="F103" s="144">
        <v>0</v>
      </c>
      <c r="G103" s="144">
        <v>0</v>
      </c>
      <c r="H103" s="144">
        <f>SUM(D103:G103)</f>
        <v>0</v>
      </c>
      <c r="I103" s="140"/>
    </row>
    <row r="104" spans="1:9" s="141" customFormat="1" x14ac:dyDescent="0.2">
      <c r="A104" s="142"/>
      <c r="B104" s="143"/>
      <c r="C104" s="143" t="s">
        <v>34</v>
      </c>
      <c r="D104" s="144">
        <f>D84+D98</f>
        <v>871.48</v>
      </c>
      <c r="E104" s="144">
        <f>E84+E98</f>
        <v>613.29999999999995</v>
      </c>
      <c r="F104" s="144">
        <f>F84+F98</f>
        <v>15580.25</v>
      </c>
      <c r="G104" s="144">
        <f>G84+G98</f>
        <v>198.01</v>
      </c>
      <c r="H104" s="144">
        <f>SUM(D104:G104)</f>
        <v>17263.04</v>
      </c>
      <c r="I104" s="140"/>
    </row>
    <row r="105" spans="1:9" s="141" customFormat="1" x14ac:dyDescent="0.2">
      <c r="A105" s="142"/>
      <c r="B105" s="143"/>
      <c r="C105" s="143" t="s">
        <v>41</v>
      </c>
      <c r="D105" s="144"/>
      <c r="E105" s="144"/>
      <c r="F105" s="144"/>
      <c r="G105" s="144"/>
      <c r="H105" s="144"/>
      <c r="I105" s="140"/>
    </row>
    <row r="106" spans="1:9" s="141" customFormat="1" x14ac:dyDescent="0.2">
      <c r="A106" s="142"/>
      <c r="B106" s="143"/>
      <c r="C106" s="143" t="s">
        <v>121</v>
      </c>
      <c r="D106" s="144">
        <f t="shared" ref="D106:G109" si="5">D86+D100</f>
        <v>871.48</v>
      </c>
      <c r="E106" s="144">
        <f t="shared" si="5"/>
        <v>613.29999999999995</v>
      </c>
      <c r="F106" s="144">
        <f t="shared" si="5"/>
        <v>15580.25</v>
      </c>
      <c r="G106" s="144">
        <f t="shared" si="5"/>
        <v>198.01</v>
      </c>
      <c r="H106" s="144">
        <f>SUM(D106:G106)</f>
        <v>17263.04</v>
      </c>
      <c r="I106" s="140"/>
    </row>
    <row r="107" spans="1:9" s="141" customFormat="1" x14ac:dyDescent="0.2">
      <c r="A107" s="142"/>
      <c r="B107" s="143"/>
      <c r="C107" s="143" t="s">
        <v>122</v>
      </c>
      <c r="D107" s="144">
        <f t="shared" si="5"/>
        <v>0</v>
      </c>
      <c r="E107" s="144">
        <f t="shared" si="5"/>
        <v>0</v>
      </c>
      <c r="F107" s="144">
        <f t="shared" si="5"/>
        <v>0</v>
      </c>
      <c r="G107" s="144">
        <f t="shared" si="5"/>
        <v>0</v>
      </c>
      <c r="H107" s="144">
        <f>SUM(D107:G107)</f>
        <v>0</v>
      </c>
      <c r="I107" s="140"/>
    </row>
    <row r="108" spans="1:9" s="141" customFormat="1" x14ac:dyDescent="0.2">
      <c r="A108" s="142"/>
      <c r="B108" s="143"/>
      <c r="C108" s="143" t="s">
        <v>123</v>
      </c>
      <c r="D108" s="144">
        <f t="shared" si="5"/>
        <v>0</v>
      </c>
      <c r="E108" s="144">
        <f t="shared" si="5"/>
        <v>0</v>
      </c>
      <c r="F108" s="144">
        <f t="shared" si="5"/>
        <v>0</v>
      </c>
      <c r="G108" s="144">
        <f t="shared" si="5"/>
        <v>0</v>
      </c>
      <c r="H108" s="144">
        <f>SUM(D108:G108)</f>
        <v>0</v>
      </c>
      <c r="I108" s="140"/>
    </row>
    <row r="109" spans="1:9" s="141" customFormat="1" x14ac:dyDescent="0.2">
      <c r="A109" s="142"/>
      <c r="B109" s="143"/>
      <c r="C109" s="143" t="s">
        <v>124</v>
      </c>
      <c r="D109" s="144">
        <f t="shared" si="5"/>
        <v>0</v>
      </c>
      <c r="E109" s="144">
        <f t="shared" si="5"/>
        <v>0</v>
      </c>
      <c r="F109" s="144">
        <f t="shared" si="5"/>
        <v>0</v>
      </c>
      <c r="G109" s="144">
        <f t="shared" si="5"/>
        <v>0</v>
      </c>
      <c r="H109" s="144">
        <f>SUM(D109:G109)</f>
        <v>0</v>
      </c>
      <c r="I109" s="140"/>
    </row>
    <row r="110" spans="1:9" s="141" customFormat="1" ht="12.75" customHeight="1" x14ac:dyDescent="0.2">
      <c r="A110" s="262" t="s">
        <v>35</v>
      </c>
      <c r="B110" s="263"/>
      <c r="C110" s="263"/>
      <c r="D110" s="263"/>
      <c r="E110" s="263"/>
      <c r="F110" s="263"/>
      <c r="G110" s="263"/>
      <c r="H110" s="264"/>
      <c r="I110" s="140"/>
    </row>
    <row r="111" spans="1:9" ht="66.75" customHeight="1" x14ac:dyDescent="0.2">
      <c r="A111" s="136">
        <f>A97+1</f>
        <v>22</v>
      </c>
      <c r="B111" s="166" t="s">
        <v>36</v>
      </c>
      <c r="C111" s="166" t="s">
        <v>152</v>
      </c>
      <c r="D111" s="157"/>
      <c r="E111" s="158"/>
      <c r="F111" s="158"/>
      <c r="G111" s="137">
        <f>ROUND((H106)*4.4/100,2)</f>
        <v>759.57</v>
      </c>
      <c r="H111" s="139">
        <f t="shared" ref="H111:H112" si="6">SUM(D111:G111)</f>
        <v>759.57</v>
      </c>
    </row>
    <row r="112" spans="1:9" s="141" customFormat="1" ht="89.25" x14ac:dyDescent="0.2">
      <c r="A112" s="136">
        <f>A111+1</f>
        <v>23</v>
      </c>
      <c r="B112" s="166" t="s">
        <v>36</v>
      </c>
      <c r="C112" s="166" t="s">
        <v>153</v>
      </c>
      <c r="D112" s="157"/>
      <c r="E112" s="158"/>
      <c r="F112" s="158"/>
      <c r="G112" s="139">
        <f>ROUND(H106*1.81/100,3)+0.01</f>
        <v>312.47000000000003</v>
      </c>
      <c r="H112" s="139">
        <f t="shared" si="6"/>
        <v>312.47000000000003</v>
      </c>
      <c r="I112" s="140"/>
    </row>
    <row r="113" spans="1:9" s="141" customFormat="1" x14ac:dyDescent="0.2">
      <c r="A113" s="142"/>
      <c r="B113" s="143"/>
      <c r="C113" s="143" t="s">
        <v>13</v>
      </c>
      <c r="D113" s="154">
        <f>SUM(D111:D112)</f>
        <v>0</v>
      </c>
      <c r="E113" s="154">
        <f>SUM(E111:E112)</f>
        <v>0</v>
      </c>
      <c r="F113" s="154">
        <f>SUM(F111:F112)</f>
        <v>0</v>
      </c>
      <c r="G113" s="144">
        <f>G111</f>
        <v>759.57</v>
      </c>
      <c r="H113" s="144">
        <f>SUM(D113:G113)</f>
        <v>759.57</v>
      </c>
      <c r="I113" s="140"/>
    </row>
    <row r="114" spans="1:9" s="141" customFormat="1" x14ac:dyDescent="0.2">
      <c r="A114" s="142"/>
      <c r="B114" s="143"/>
      <c r="C114" s="143" t="s">
        <v>41</v>
      </c>
      <c r="D114" s="154"/>
      <c r="E114" s="154"/>
      <c r="F114" s="154"/>
      <c r="G114" s="144"/>
      <c r="H114" s="144"/>
      <c r="I114" s="140"/>
    </row>
    <row r="115" spans="1:9" s="141" customFormat="1" x14ac:dyDescent="0.2">
      <c r="A115" s="142"/>
      <c r="B115" s="143"/>
      <c r="C115" s="143" t="s">
        <v>121</v>
      </c>
      <c r="D115" s="154"/>
      <c r="E115" s="154"/>
      <c r="F115" s="154"/>
      <c r="G115" s="144">
        <f>G111</f>
        <v>759.57</v>
      </c>
      <c r="H115" s="144">
        <f>SUM(D115:G115)</f>
        <v>759.57</v>
      </c>
      <c r="I115" s="140"/>
    </row>
    <row r="116" spans="1:9" s="141" customFormat="1" x14ac:dyDescent="0.2">
      <c r="A116" s="142"/>
      <c r="B116" s="143"/>
      <c r="C116" s="143" t="s">
        <v>122</v>
      </c>
      <c r="D116" s="154"/>
      <c r="E116" s="154"/>
      <c r="F116" s="154"/>
      <c r="G116" s="144">
        <v>0</v>
      </c>
      <c r="H116" s="144">
        <f>SUM(D116:G116)</f>
        <v>0</v>
      </c>
      <c r="I116" s="140"/>
    </row>
    <row r="117" spans="1:9" s="141" customFormat="1" x14ac:dyDescent="0.2">
      <c r="A117" s="142"/>
      <c r="B117" s="143"/>
      <c r="C117" s="143" t="s">
        <v>123</v>
      </c>
      <c r="D117" s="154">
        <f>0</f>
        <v>0</v>
      </c>
      <c r="E117" s="154">
        <f>0</f>
        <v>0</v>
      </c>
      <c r="F117" s="154">
        <f>0</f>
        <v>0</v>
      </c>
      <c r="G117" s="144"/>
      <c r="H117" s="144">
        <f>SUM(D117:G117)</f>
        <v>0</v>
      </c>
      <c r="I117" s="140"/>
    </row>
    <row r="118" spans="1:9" s="141" customFormat="1" x14ac:dyDescent="0.2">
      <c r="A118" s="142"/>
      <c r="B118" s="143"/>
      <c r="C118" s="143" t="s">
        <v>124</v>
      </c>
      <c r="D118" s="154">
        <f>0</f>
        <v>0</v>
      </c>
      <c r="E118" s="154">
        <f>0</f>
        <v>0</v>
      </c>
      <c r="F118" s="154">
        <f>0</f>
        <v>0</v>
      </c>
      <c r="G118" s="144">
        <v>0</v>
      </c>
      <c r="H118" s="144">
        <f>SUM(D118:G118)</f>
        <v>0</v>
      </c>
      <c r="I118" s="140"/>
    </row>
    <row r="119" spans="1:9" s="141" customFormat="1" ht="27" customHeight="1" x14ac:dyDescent="0.2">
      <c r="A119" s="262" t="s">
        <v>154</v>
      </c>
      <c r="B119" s="263"/>
      <c r="C119" s="263"/>
      <c r="D119" s="263"/>
      <c r="E119" s="263"/>
      <c r="F119" s="263"/>
      <c r="G119" s="263"/>
      <c r="H119" s="264"/>
      <c r="I119" s="140"/>
    </row>
    <row r="120" spans="1:9" s="141" customFormat="1" ht="51" customHeight="1" x14ac:dyDescent="0.2">
      <c r="A120" s="136">
        <f>A112+1</f>
        <v>24</v>
      </c>
      <c r="B120" s="166" t="s">
        <v>37</v>
      </c>
      <c r="C120" s="166" t="s">
        <v>38</v>
      </c>
      <c r="D120" s="157"/>
      <c r="E120" s="158"/>
      <c r="F120" s="158"/>
      <c r="G120" s="139">
        <f>ROUND(H104*0.2/100,3)</f>
        <v>34.53</v>
      </c>
      <c r="H120" s="139">
        <f>SUM(D120:G120)</f>
        <v>34.53</v>
      </c>
      <c r="I120" s="140"/>
    </row>
    <row r="121" spans="1:9" s="141" customFormat="1" x14ac:dyDescent="0.2">
      <c r="A121" s="142"/>
      <c r="B121" s="143"/>
      <c r="C121" s="143" t="s">
        <v>13</v>
      </c>
      <c r="D121" s="154">
        <f>SUM(D120:D120)</f>
        <v>0</v>
      </c>
      <c r="E121" s="154">
        <f>SUM(E120:E120)</f>
        <v>0</v>
      </c>
      <c r="F121" s="154">
        <f>SUM(F120:F120)</f>
        <v>0</v>
      </c>
      <c r="G121" s="144">
        <f>SUM(G120:G120)</f>
        <v>34.53</v>
      </c>
      <c r="H121" s="144">
        <f>SUM(D121:G121)</f>
        <v>34.53</v>
      </c>
      <c r="I121" s="140"/>
    </row>
    <row r="122" spans="1:9" s="141" customFormat="1" x14ac:dyDescent="0.2">
      <c r="A122" s="142"/>
      <c r="B122" s="143"/>
      <c r="C122" s="143" t="s">
        <v>41</v>
      </c>
      <c r="D122" s="154"/>
      <c r="E122" s="154"/>
      <c r="F122" s="154"/>
      <c r="G122" s="144"/>
      <c r="H122" s="144"/>
      <c r="I122" s="140"/>
    </row>
    <row r="123" spans="1:9" s="141" customFormat="1" x14ac:dyDescent="0.2">
      <c r="A123" s="142"/>
      <c r="B123" s="143"/>
      <c r="C123" s="143" t="s">
        <v>121</v>
      </c>
      <c r="D123" s="154"/>
      <c r="E123" s="154"/>
      <c r="F123" s="154"/>
      <c r="G123" s="144">
        <f>G121</f>
        <v>34.53</v>
      </c>
      <c r="H123" s="144">
        <f>SUM(D123:G123)</f>
        <v>34.53</v>
      </c>
      <c r="I123" s="140"/>
    </row>
    <row r="124" spans="1:9" s="141" customFormat="1" x14ac:dyDescent="0.2">
      <c r="A124" s="142"/>
      <c r="B124" s="143"/>
      <c r="C124" s="143" t="s">
        <v>122</v>
      </c>
      <c r="D124" s="154"/>
      <c r="E124" s="154"/>
      <c r="F124" s="154"/>
      <c r="G124" s="144"/>
      <c r="H124" s="144">
        <f>SUM(D124:G124)</f>
        <v>0</v>
      </c>
      <c r="I124" s="140"/>
    </row>
    <row r="125" spans="1:9" s="141" customFormat="1" x14ac:dyDescent="0.2">
      <c r="A125" s="142"/>
      <c r="B125" s="143"/>
      <c r="C125" s="143" t="s">
        <v>123</v>
      </c>
      <c r="D125" s="154"/>
      <c r="E125" s="154"/>
      <c r="F125" s="154"/>
      <c r="G125" s="144"/>
      <c r="H125" s="144">
        <f>SUM(D125:G125)</f>
        <v>0</v>
      </c>
      <c r="I125" s="140"/>
    </row>
    <row r="126" spans="1:9" s="141" customFormat="1" x14ac:dyDescent="0.2">
      <c r="A126" s="142"/>
      <c r="B126" s="143"/>
      <c r="C126" s="143" t="s">
        <v>124</v>
      </c>
      <c r="D126" s="154"/>
      <c r="E126" s="154"/>
      <c r="F126" s="154"/>
      <c r="G126" s="144"/>
      <c r="H126" s="144">
        <f>SUM(D126:G126)</f>
        <v>0</v>
      </c>
      <c r="I126" s="140"/>
    </row>
    <row r="127" spans="1:9" s="141" customFormat="1" x14ac:dyDescent="0.2">
      <c r="A127" s="142"/>
      <c r="B127" s="143"/>
      <c r="C127" s="143" t="s">
        <v>39</v>
      </c>
      <c r="D127" s="144">
        <f>ROUND(D104+D113+D121,3)</f>
        <v>871.48</v>
      </c>
      <c r="E127" s="144">
        <f>ROUND(E104+E113+E121,3)</f>
        <v>613.29999999999995</v>
      </c>
      <c r="F127" s="144">
        <f>ROUND(F104+F113+F121,3)</f>
        <v>15580.25</v>
      </c>
      <c r="G127" s="144">
        <f>ROUND(G104+G113+G121,3)</f>
        <v>992.11</v>
      </c>
      <c r="H127" s="144">
        <f>SUM(D127:G127)</f>
        <v>18057.14</v>
      </c>
      <c r="I127" s="140"/>
    </row>
    <row r="128" spans="1:9" s="141" customFormat="1" x14ac:dyDescent="0.2">
      <c r="A128" s="142"/>
      <c r="B128" s="143"/>
      <c r="C128" s="143" t="s">
        <v>41</v>
      </c>
      <c r="D128" s="144"/>
      <c r="E128" s="144"/>
      <c r="F128" s="144"/>
      <c r="G128" s="154"/>
      <c r="H128" s="154"/>
      <c r="I128" s="140"/>
    </row>
    <row r="129" spans="1:9" s="141" customFormat="1" x14ac:dyDescent="0.2">
      <c r="A129" s="142"/>
      <c r="B129" s="143"/>
      <c r="C129" s="143" t="s">
        <v>121</v>
      </c>
      <c r="D129" s="144">
        <f t="shared" ref="D129:G132" si="7">ROUND(D106+D115+D123,3)</f>
        <v>871.48</v>
      </c>
      <c r="E129" s="144">
        <f t="shared" si="7"/>
        <v>613.29999999999995</v>
      </c>
      <c r="F129" s="144">
        <f t="shared" si="7"/>
        <v>15580.25</v>
      </c>
      <c r="G129" s="144">
        <f t="shared" si="7"/>
        <v>992.11</v>
      </c>
      <c r="H129" s="144">
        <f>SUM(D129:G129)</f>
        <v>18057.14</v>
      </c>
      <c r="I129" s="140"/>
    </row>
    <row r="130" spans="1:9" s="141" customFormat="1" x14ac:dyDescent="0.2">
      <c r="A130" s="142"/>
      <c r="B130" s="143"/>
      <c r="C130" s="143" t="s">
        <v>122</v>
      </c>
      <c r="D130" s="144">
        <f t="shared" si="7"/>
        <v>0</v>
      </c>
      <c r="E130" s="144">
        <f t="shared" si="7"/>
        <v>0</v>
      </c>
      <c r="F130" s="144">
        <f t="shared" si="7"/>
        <v>0</v>
      </c>
      <c r="G130" s="144">
        <f t="shared" si="7"/>
        <v>0</v>
      </c>
      <c r="H130" s="144">
        <f>SUM(D130:G130)</f>
        <v>0</v>
      </c>
      <c r="I130" s="140"/>
    </row>
    <row r="131" spans="1:9" s="141" customFormat="1" x14ac:dyDescent="0.2">
      <c r="A131" s="142"/>
      <c r="B131" s="143"/>
      <c r="C131" s="143" t="s">
        <v>123</v>
      </c>
      <c r="D131" s="144">
        <f t="shared" si="7"/>
        <v>0</v>
      </c>
      <c r="E131" s="144">
        <f t="shared" si="7"/>
        <v>0</v>
      </c>
      <c r="F131" s="144">
        <f t="shared" si="7"/>
        <v>0</v>
      </c>
      <c r="G131" s="144">
        <f t="shared" si="7"/>
        <v>0</v>
      </c>
      <c r="H131" s="144">
        <f>SUM(D131:G131)</f>
        <v>0</v>
      </c>
      <c r="I131" s="140"/>
    </row>
    <row r="132" spans="1:9" s="141" customFormat="1" x14ac:dyDescent="0.2">
      <c r="A132" s="142"/>
      <c r="B132" s="143"/>
      <c r="C132" s="143" t="s">
        <v>124</v>
      </c>
      <c r="D132" s="144">
        <f t="shared" si="7"/>
        <v>0</v>
      </c>
      <c r="E132" s="144">
        <f t="shared" si="7"/>
        <v>0</v>
      </c>
      <c r="F132" s="144">
        <f t="shared" si="7"/>
        <v>0</v>
      </c>
      <c r="G132" s="144">
        <f t="shared" si="7"/>
        <v>0</v>
      </c>
      <c r="H132" s="144">
        <f>SUM(D132:G132)</f>
        <v>0</v>
      </c>
      <c r="I132" s="140"/>
    </row>
    <row r="133" spans="1:9" s="141" customFormat="1" ht="25.5" x14ac:dyDescent="0.2">
      <c r="A133" s="136">
        <f>A120+1</f>
        <v>25</v>
      </c>
      <c r="B133" s="166" t="s">
        <v>40</v>
      </c>
      <c r="C133" s="166" t="s">
        <v>155</v>
      </c>
      <c r="D133" s="156">
        <f>D127*3%</f>
        <v>26.14</v>
      </c>
      <c r="E133" s="156">
        <f>E127*3%</f>
        <v>18.399999999999999</v>
      </c>
      <c r="F133" s="156">
        <f>F127*3%</f>
        <v>467.41</v>
      </c>
      <c r="G133" s="156">
        <f>(G120+G113+G104)*3%</f>
        <v>29.76</v>
      </c>
      <c r="H133" s="139">
        <f>SUM(D133:G133)</f>
        <v>541.71</v>
      </c>
      <c r="I133" s="140"/>
    </row>
    <row r="134" spans="1:9" s="141" customFormat="1" x14ac:dyDescent="0.2">
      <c r="A134" s="142"/>
      <c r="B134" s="143"/>
      <c r="C134" s="143" t="s">
        <v>41</v>
      </c>
      <c r="D134" s="144"/>
      <c r="E134" s="144"/>
      <c r="F134" s="144"/>
      <c r="G134" s="144"/>
      <c r="H134" s="144"/>
      <c r="I134" s="140"/>
    </row>
    <row r="135" spans="1:9" s="141" customFormat="1" x14ac:dyDescent="0.2">
      <c r="A135" s="142"/>
      <c r="B135" s="143"/>
      <c r="C135" s="143" t="s">
        <v>121</v>
      </c>
      <c r="D135" s="144">
        <f>ROUND(D129*3/100,3)-0.01</f>
        <v>26.13</v>
      </c>
      <c r="E135" s="144">
        <f>ROUND(E129*3/100,3)-0.01</f>
        <v>18.39</v>
      </c>
      <c r="F135" s="144">
        <f t="shared" ref="D135:G138" si="8">ROUND(F129*3/100,3)</f>
        <v>467.41</v>
      </c>
      <c r="G135" s="144">
        <f>ROUND((G106+G115+G120)*3/100,3)</f>
        <v>29.76</v>
      </c>
      <c r="H135" s="144">
        <f>SUM(D135:G135)</f>
        <v>541.69000000000005</v>
      </c>
      <c r="I135" s="140"/>
    </row>
    <row r="136" spans="1:9" s="141" customFormat="1" ht="17.45" customHeight="1" x14ac:dyDescent="0.2">
      <c r="A136" s="142"/>
      <c r="B136" s="143"/>
      <c r="C136" s="143" t="s">
        <v>122</v>
      </c>
      <c r="D136" s="144">
        <f>ROUND(D130*3/100,3)</f>
        <v>0</v>
      </c>
      <c r="E136" s="144">
        <f t="shared" si="8"/>
        <v>0</v>
      </c>
      <c r="F136" s="144">
        <f t="shared" si="8"/>
        <v>0</v>
      </c>
      <c r="G136" s="144">
        <f>ROUND((G107+G116)*3/100,3)</f>
        <v>0</v>
      </c>
      <c r="H136" s="144">
        <f>SUM(D136:G136)</f>
        <v>0</v>
      </c>
      <c r="I136" s="140"/>
    </row>
    <row r="137" spans="1:9" s="141" customFormat="1" x14ac:dyDescent="0.2">
      <c r="A137" s="142"/>
      <c r="B137" s="143"/>
      <c r="C137" s="143" t="s">
        <v>123</v>
      </c>
      <c r="D137" s="144">
        <f t="shared" si="8"/>
        <v>0</v>
      </c>
      <c r="E137" s="144">
        <f t="shared" si="8"/>
        <v>0</v>
      </c>
      <c r="F137" s="144">
        <f t="shared" si="8"/>
        <v>0</v>
      </c>
      <c r="G137" s="144">
        <f t="shared" si="8"/>
        <v>0</v>
      </c>
      <c r="H137" s="144">
        <f>SUM(D137:G137)</f>
        <v>0</v>
      </c>
      <c r="I137" s="140"/>
    </row>
    <row r="138" spans="1:9" s="141" customFormat="1" x14ac:dyDescent="0.2">
      <c r="A138" s="142"/>
      <c r="B138" s="143"/>
      <c r="C138" s="143" t="s">
        <v>124</v>
      </c>
      <c r="D138" s="144">
        <f>ROUND(D132*3/100,3)</f>
        <v>0</v>
      </c>
      <c r="E138" s="144">
        <f>ROUND(E132*3/100,3)</f>
        <v>0</v>
      </c>
      <c r="F138" s="144">
        <f t="shared" si="8"/>
        <v>0</v>
      </c>
      <c r="G138" s="144">
        <f>ROUND((G109+G118)*3/100,3)</f>
        <v>0</v>
      </c>
      <c r="H138" s="144">
        <f>SUM(D138:G138)</f>
        <v>0</v>
      </c>
      <c r="I138" s="140"/>
    </row>
    <row r="139" spans="1:9" s="141" customFormat="1" x14ac:dyDescent="0.2">
      <c r="A139" s="142"/>
      <c r="B139" s="143"/>
      <c r="C139" s="143" t="s">
        <v>156</v>
      </c>
      <c r="D139" s="144">
        <f>D127+D133+0.01</f>
        <v>897.63</v>
      </c>
      <c r="E139" s="144">
        <f>E127+E133+0.01</f>
        <v>631.71</v>
      </c>
      <c r="F139" s="144">
        <f>F127+F133</f>
        <v>16047.66</v>
      </c>
      <c r="G139" s="144">
        <f>G127+G133</f>
        <v>1021.87</v>
      </c>
      <c r="H139" s="144">
        <f>D139+E139+F139+G139</f>
        <v>18598.87</v>
      </c>
      <c r="I139" s="140"/>
    </row>
    <row r="140" spans="1:9" s="141" customFormat="1" x14ac:dyDescent="0.2">
      <c r="A140" s="142"/>
      <c r="B140" s="143"/>
      <c r="C140" s="143" t="s">
        <v>41</v>
      </c>
      <c r="D140" s="144"/>
      <c r="E140" s="144"/>
      <c r="F140" s="144"/>
      <c r="G140" s="144"/>
      <c r="H140" s="144"/>
      <c r="I140" s="140"/>
    </row>
    <row r="141" spans="1:9" s="141" customFormat="1" x14ac:dyDescent="0.2">
      <c r="A141" s="142"/>
      <c r="B141" s="143"/>
      <c r="C141" s="143" t="s">
        <v>121</v>
      </c>
      <c r="D141" s="144">
        <f t="shared" ref="D141:G144" si="9">D129+D135</f>
        <v>897.61</v>
      </c>
      <c r="E141" s="144">
        <f t="shared" si="9"/>
        <v>631.69000000000005</v>
      </c>
      <c r="F141" s="144">
        <f t="shared" si="9"/>
        <v>16047.66</v>
      </c>
      <c r="G141" s="144">
        <f t="shared" si="9"/>
        <v>1021.87</v>
      </c>
      <c r="H141" s="144">
        <f>SUM(D141:G141)</f>
        <v>18598.830000000002</v>
      </c>
      <c r="I141" s="140"/>
    </row>
    <row r="142" spans="1:9" s="141" customFormat="1" x14ac:dyDescent="0.2">
      <c r="A142" s="142"/>
      <c r="B142" s="143"/>
      <c r="C142" s="143" t="s">
        <v>122</v>
      </c>
      <c r="D142" s="144">
        <f t="shared" si="9"/>
        <v>0</v>
      </c>
      <c r="E142" s="144">
        <f t="shared" si="9"/>
        <v>0</v>
      </c>
      <c r="F142" s="144">
        <f t="shared" si="9"/>
        <v>0</v>
      </c>
      <c r="G142" s="144">
        <f t="shared" si="9"/>
        <v>0</v>
      </c>
      <c r="H142" s="144">
        <f>H130+H136</f>
        <v>0</v>
      </c>
      <c r="I142" s="140"/>
    </row>
    <row r="143" spans="1:9" s="141" customFormat="1" x14ac:dyDescent="0.2">
      <c r="A143" s="142"/>
      <c r="B143" s="143"/>
      <c r="C143" s="143" t="s">
        <v>123</v>
      </c>
      <c r="D143" s="144">
        <f t="shared" si="9"/>
        <v>0</v>
      </c>
      <c r="E143" s="144">
        <f t="shared" si="9"/>
        <v>0</v>
      </c>
      <c r="F143" s="144">
        <f t="shared" si="9"/>
        <v>0</v>
      </c>
      <c r="G143" s="144">
        <f t="shared" si="9"/>
        <v>0</v>
      </c>
      <c r="H143" s="144">
        <f>H131+H137</f>
        <v>0</v>
      </c>
      <c r="I143" s="140"/>
    </row>
    <row r="144" spans="1:9" s="141" customFormat="1" x14ac:dyDescent="0.2">
      <c r="A144" s="142"/>
      <c r="B144" s="143"/>
      <c r="C144" s="143" t="s">
        <v>124</v>
      </c>
      <c r="D144" s="144">
        <f t="shared" si="9"/>
        <v>0</v>
      </c>
      <c r="E144" s="144">
        <f t="shared" si="9"/>
        <v>0</v>
      </c>
      <c r="F144" s="144">
        <f t="shared" si="9"/>
        <v>0</v>
      </c>
      <c r="G144" s="144">
        <f t="shared" si="9"/>
        <v>0</v>
      </c>
      <c r="H144" s="144">
        <f>H132+H138</f>
        <v>0</v>
      </c>
      <c r="I144" s="140"/>
    </row>
    <row r="145" spans="1:9" s="141" customFormat="1" ht="12.75" customHeight="1" x14ac:dyDescent="0.2">
      <c r="A145" s="159"/>
      <c r="B145" s="160"/>
      <c r="C145" s="160"/>
      <c r="D145" s="160"/>
      <c r="E145" s="160"/>
      <c r="F145" s="160"/>
      <c r="G145" s="160"/>
      <c r="H145" s="161"/>
      <c r="I145" s="140"/>
    </row>
    <row r="146" spans="1:9" s="141" customFormat="1" ht="14.25" customHeight="1" x14ac:dyDescent="0.2">
      <c r="A146" s="162"/>
      <c r="B146" s="134"/>
      <c r="C146" s="134"/>
      <c r="D146" s="134"/>
      <c r="E146" s="134"/>
      <c r="F146" s="134"/>
      <c r="G146" s="162"/>
      <c r="H146" s="162"/>
      <c r="I146" s="140"/>
    </row>
    <row r="147" spans="1:9" s="163" customFormat="1" x14ac:dyDescent="0.2">
      <c r="A147" s="162"/>
      <c r="B147" s="162"/>
      <c r="C147" s="162"/>
      <c r="D147" s="162"/>
      <c r="E147" s="162"/>
      <c r="F147" s="162"/>
      <c r="G147" s="162"/>
      <c r="H147" s="162"/>
      <c r="I147" s="162"/>
    </row>
    <row r="148" spans="1:9" s="163" customFormat="1" x14ac:dyDescent="0.2">
      <c r="A148" s="162"/>
      <c r="B148" s="162"/>
      <c r="C148" s="162"/>
      <c r="D148" s="162"/>
      <c r="E148" s="162"/>
      <c r="F148" s="162"/>
      <c r="G148" s="162"/>
      <c r="H148" s="162"/>
      <c r="I148" s="162"/>
    </row>
    <row r="149" spans="1:9" s="163" customFormat="1" x14ac:dyDescent="0.2">
      <c r="A149" s="162"/>
      <c r="B149" s="162"/>
      <c r="C149" s="162"/>
      <c r="D149" s="162"/>
      <c r="E149" s="162"/>
      <c r="F149" s="162"/>
      <c r="G149" s="162"/>
      <c r="H149" s="162"/>
      <c r="I149" s="162"/>
    </row>
    <row r="150" spans="1:9" s="163" customFormat="1" x14ac:dyDescent="0.2">
      <c r="A150" s="162"/>
      <c r="B150" s="162"/>
      <c r="C150" s="134" t="s">
        <v>157</v>
      </c>
      <c r="D150" s="134"/>
      <c r="E150" s="134"/>
      <c r="F150" s="134"/>
      <c r="G150" s="162"/>
      <c r="H150" s="162"/>
      <c r="I150" s="162"/>
    </row>
    <row r="151" spans="1:9" s="163" customFormat="1" x14ac:dyDescent="0.2">
      <c r="A151" s="162"/>
      <c r="B151" s="162"/>
      <c r="C151" s="134"/>
      <c r="D151" s="134"/>
      <c r="E151" s="134"/>
      <c r="F151" s="134"/>
      <c r="G151" s="162"/>
      <c r="H151" s="162"/>
      <c r="I151" s="162"/>
    </row>
    <row r="152" spans="1:9" s="163" customFormat="1" x14ac:dyDescent="0.2">
      <c r="A152" s="162"/>
      <c r="B152" s="162"/>
      <c r="C152" s="134" t="s">
        <v>158</v>
      </c>
      <c r="D152" s="164"/>
      <c r="E152" s="134"/>
      <c r="F152" s="134" t="s">
        <v>159</v>
      </c>
      <c r="G152" s="162"/>
      <c r="H152" s="162"/>
      <c r="I152" s="162"/>
    </row>
    <row r="153" spans="1:9" s="163" customFormat="1" x14ac:dyDescent="0.2">
      <c r="A153" s="162"/>
      <c r="B153" s="162"/>
      <c r="C153" s="134"/>
      <c r="D153" s="134"/>
      <c r="E153" s="134"/>
      <c r="F153" s="134"/>
      <c r="G153" s="162"/>
      <c r="H153" s="162"/>
      <c r="I153" s="162"/>
    </row>
    <row r="154" spans="1:9" s="163" customFormat="1" x14ac:dyDescent="0.2">
      <c r="A154" s="162"/>
      <c r="B154" s="162"/>
      <c r="C154" s="134" t="s">
        <v>160</v>
      </c>
      <c r="D154" s="164"/>
      <c r="E154" s="134"/>
      <c r="F154" s="134" t="s">
        <v>161</v>
      </c>
      <c r="G154" s="162"/>
      <c r="H154" s="162"/>
      <c r="I154" s="162"/>
    </row>
    <row r="155" spans="1:9" s="163" customFormat="1" x14ac:dyDescent="0.2">
      <c r="A155" s="162"/>
      <c r="B155" s="162"/>
      <c r="C155" s="134"/>
      <c r="D155" s="134"/>
      <c r="E155" s="134"/>
      <c r="F155" s="134"/>
      <c r="G155" s="162"/>
      <c r="H155" s="162"/>
      <c r="I155" s="162"/>
    </row>
    <row r="156" spans="1:9" s="163" customFormat="1" x14ac:dyDescent="0.2">
      <c r="A156" s="162"/>
      <c r="B156" s="162"/>
      <c r="C156" s="134" t="s">
        <v>162</v>
      </c>
      <c r="D156" s="164"/>
      <c r="E156" s="134"/>
      <c r="F156" s="134" t="s">
        <v>163</v>
      </c>
      <c r="G156" s="162"/>
      <c r="H156" s="162"/>
      <c r="I156" s="162"/>
    </row>
    <row r="157" spans="1:9" s="163" customFormat="1" x14ac:dyDescent="0.2">
      <c r="A157" s="162"/>
      <c r="B157" s="162"/>
      <c r="C157" s="134"/>
      <c r="D157" s="134"/>
      <c r="E157" s="134"/>
      <c r="F157" s="134"/>
      <c r="G157" s="162"/>
      <c r="H157" s="162"/>
      <c r="I157" s="162"/>
    </row>
    <row r="158" spans="1:9" s="163" customFormat="1" x14ac:dyDescent="0.2">
      <c r="A158" s="162"/>
      <c r="B158" s="134"/>
      <c r="C158" s="134" t="s">
        <v>108</v>
      </c>
      <c r="D158" s="134"/>
      <c r="E158" s="134"/>
      <c r="F158" s="134"/>
      <c r="G158" s="162"/>
      <c r="H158" s="162"/>
      <c r="I158" s="162"/>
    </row>
    <row r="159" spans="1:9" s="163" customFormat="1" x14ac:dyDescent="0.2">
      <c r="A159" s="162"/>
      <c r="B159" s="134"/>
      <c r="C159" s="134"/>
      <c r="D159" s="162"/>
      <c r="E159" s="134"/>
      <c r="F159" s="134"/>
      <c r="G159" s="162"/>
      <c r="H159" s="162"/>
      <c r="I159" s="162"/>
    </row>
    <row r="160" spans="1:9" s="163" customFormat="1" ht="38.25" x14ac:dyDescent="0.2">
      <c r="A160" s="162"/>
      <c r="B160" s="134"/>
      <c r="C160" s="165" t="s">
        <v>164</v>
      </c>
      <c r="D160" s="164"/>
      <c r="E160" s="134"/>
      <c r="F160" s="134" t="s">
        <v>165</v>
      </c>
      <c r="G160" s="162"/>
      <c r="H160" s="162"/>
      <c r="I160" s="162"/>
    </row>
    <row r="161" spans="1:9" s="163" customFormat="1" x14ac:dyDescent="0.2">
      <c r="A161" s="134"/>
      <c r="B161" s="134"/>
      <c r="C161" s="134"/>
      <c r="D161" s="134"/>
      <c r="E161" s="134"/>
      <c r="F161" s="134"/>
      <c r="G161" s="134"/>
      <c r="H161" s="134"/>
      <c r="I161" s="162"/>
    </row>
  </sheetData>
  <mergeCells count="26">
    <mergeCell ref="B13:G13"/>
    <mergeCell ref="B2:G2"/>
    <mergeCell ref="B3:G3"/>
    <mergeCell ref="B7:D7"/>
    <mergeCell ref="A9:H9"/>
    <mergeCell ref="A10:H10"/>
    <mergeCell ref="A15:H15"/>
    <mergeCell ref="B16:G16"/>
    <mergeCell ref="A18:G18"/>
    <mergeCell ref="A19:A20"/>
    <mergeCell ref="B19:B20"/>
    <mergeCell ref="C19:C20"/>
    <mergeCell ref="D19:G19"/>
    <mergeCell ref="H19:H20"/>
    <mergeCell ref="A119:H119"/>
    <mergeCell ref="A22:H22"/>
    <mergeCell ref="A23:H23"/>
    <mergeCell ref="A32:H32"/>
    <mergeCell ref="A33:H33"/>
    <mergeCell ref="A46:H46"/>
    <mergeCell ref="A58:H58"/>
    <mergeCell ref="A75:H75"/>
    <mergeCell ref="A76:H76"/>
    <mergeCell ref="A90:H90"/>
    <mergeCell ref="A91:H91"/>
    <mergeCell ref="A110:H110"/>
  </mergeCells>
  <printOptions horizontalCentered="1"/>
  <pageMargins left="0.39370078740157483" right="0.39370078740157483" top="0.59055118110236227" bottom="0.59055118110236227" header="0.39370078740157483" footer="0.3937007874015748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P127"/>
  <sheetViews>
    <sheetView showGridLines="0" view="pageBreakPreview" zoomScaleNormal="100" zoomScaleSheetLayoutView="100" workbookViewId="0">
      <selection activeCell="N7" sqref="N7"/>
    </sheetView>
  </sheetViews>
  <sheetFormatPr defaultRowHeight="12.75" outlineLevelRow="1" x14ac:dyDescent="0.2"/>
  <cols>
    <col min="1" max="1" width="7.1640625" style="7" customWidth="1"/>
    <col min="2" max="2" width="14.5" style="7" customWidth="1"/>
    <col min="3" max="3" width="45.83203125" style="7" customWidth="1"/>
    <col min="4" max="7" width="15" style="7" customWidth="1"/>
    <col min="8" max="8" width="16.33203125" style="7" customWidth="1"/>
    <col min="9" max="9" width="11.6640625" style="9" customWidth="1"/>
    <col min="10" max="10" width="12.1640625" style="7" bestFit="1" customWidth="1"/>
    <col min="11" max="15" width="9.83203125" style="7" customWidth="1"/>
    <col min="16" max="251" width="9.33203125" style="7"/>
    <col min="252" max="252" width="7.1640625" style="7" customWidth="1"/>
    <col min="253" max="253" width="14.5" style="7" customWidth="1"/>
    <col min="254" max="254" width="45.83203125" style="7" customWidth="1"/>
    <col min="255" max="255" width="13.6640625" style="7" customWidth="1"/>
    <col min="256" max="256" width="13.33203125" style="7" customWidth="1"/>
    <col min="257" max="257" width="16.1640625" style="7" customWidth="1"/>
    <col min="258" max="258" width="15.1640625" style="7" bestFit="1" customWidth="1"/>
    <col min="259" max="259" width="15.83203125" style="7" customWidth="1"/>
    <col min="260" max="260" width="11.6640625" style="7" customWidth="1"/>
    <col min="261" max="507" width="9.33203125" style="7"/>
    <col min="508" max="508" width="7.1640625" style="7" customWidth="1"/>
    <col min="509" max="509" width="14.5" style="7" customWidth="1"/>
    <col min="510" max="510" width="45.83203125" style="7" customWidth="1"/>
    <col min="511" max="511" width="13.6640625" style="7" customWidth="1"/>
    <col min="512" max="512" width="13.33203125" style="7" customWidth="1"/>
    <col min="513" max="513" width="16.1640625" style="7" customWidth="1"/>
    <col min="514" max="514" width="15.1640625" style="7" bestFit="1" customWidth="1"/>
    <col min="515" max="515" width="15.83203125" style="7" customWidth="1"/>
    <col min="516" max="516" width="11.6640625" style="7" customWidth="1"/>
    <col min="517" max="763" width="9.33203125" style="7"/>
    <col min="764" max="764" width="7.1640625" style="7" customWidth="1"/>
    <col min="765" max="765" width="14.5" style="7" customWidth="1"/>
    <col min="766" max="766" width="45.83203125" style="7" customWidth="1"/>
    <col min="767" max="767" width="13.6640625" style="7" customWidth="1"/>
    <col min="768" max="768" width="13.33203125" style="7" customWidth="1"/>
    <col min="769" max="769" width="16.1640625" style="7" customWidth="1"/>
    <col min="770" max="770" width="15.1640625" style="7" bestFit="1" customWidth="1"/>
    <col min="771" max="771" width="15.83203125" style="7" customWidth="1"/>
    <col min="772" max="772" width="11.6640625" style="7" customWidth="1"/>
    <col min="773" max="1019" width="9.33203125" style="7"/>
    <col min="1020" max="1020" width="7.1640625" style="7" customWidth="1"/>
    <col min="1021" max="1021" width="14.5" style="7" customWidth="1"/>
    <col min="1022" max="1022" width="45.83203125" style="7" customWidth="1"/>
    <col min="1023" max="1023" width="13.6640625" style="7" customWidth="1"/>
    <col min="1024" max="1024" width="13.33203125" style="7" customWidth="1"/>
    <col min="1025" max="1025" width="16.1640625" style="7" customWidth="1"/>
    <col min="1026" max="1026" width="15.1640625" style="7" bestFit="1" customWidth="1"/>
    <col min="1027" max="1027" width="15.83203125" style="7" customWidth="1"/>
    <col min="1028" max="1028" width="11.6640625" style="7" customWidth="1"/>
    <col min="1029" max="1275" width="9.33203125" style="7"/>
    <col min="1276" max="1276" width="7.1640625" style="7" customWidth="1"/>
    <col min="1277" max="1277" width="14.5" style="7" customWidth="1"/>
    <col min="1278" max="1278" width="45.83203125" style="7" customWidth="1"/>
    <col min="1279" max="1279" width="13.6640625" style="7" customWidth="1"/>
    <col min="1280" max="1280" width="13.33203125" style="7" customWidth="1"/>
    <col min="1281" max="1281" width="16.1640625" style="7" customWidth="1"/>
    <col min="1282" max="1282" width="15.1640625" style="7" bestFit="1" customWidth="1"/>
    <col min="1283" max="1283" width="15.83203125" style="7" customWidth="1"/>
    <col min="1284" max="1284" width="11.6640625" style="7" customWidth="1"/>
    <col min="1285" max="1531" width="9.33203125" style="7"/>
    <col min="1532" max="1532" width="7.1640625" style="7" customWidth="1"/>
    <col min="1533" max="1533" width="14.5" style="7" customWidth="1"/>
    <col min="1534" max="1534" width="45.83203125" style="7" customWidth="1"/>
    <col min="1535" max="1535" width="13.6640625" style="7" customWidth="1"/>
    <col min="1536" max="1536" width="13.33203125" style="7" customWidth="1"/>
    <col min="1537" max="1537" width="16.1640625" style="7" customWidth="1"/>
    <col min="1538" max="1538" width="15.1640625" style="7" bestFit="1" customWidth="1"/>
    <col min="1539" max="1539" width="15.83203125" style="7" customWidth="1"/>
    <col min="1540" max="1540" width="11.6640625" style="7" customWidth="1"/>
    <col min="1541" max="1787" width="9.33203125" style="7"/>
    <col min="1788" max="1788" width="7.1640625" style="7" customWidth="1"/>
    <col min="1789" max="1789" width="14.5" style="7" customWidth="1"/>
    <col min="1790" max="1790" width="45.83203125" style="7" customWidth="1"/>
    <col min="1791" max="1791" width="13.6640625" style="7" customWidth="1"/>
    <col min="1792" max="1792" width="13.33203125" style="7" customWidth="1"/>
    <col min="1793" max="1793" width="16.1640625" style="7" customWidth="1"/>
    <col min="1794" max="1794" width="15.1640625" style="7" bestFit="1" customWidth="1"/>
    <col min="1795" max="1795" width="15.83203125" style="7" customWidth="1"/>
    <col min="1796" max="1796" width="11.6640625" style="7" customWidth="1"/>
    <col min="1797" max="2043" width="9.33203125" style="7"/>
    <col min="2044" max="2044" width="7.1640625" style="7" customWidth="1"/>
    <col min="2045" max="2045" width="14.5" style="7" customWidth="1"/>
    <col min="2046" max="2046" width="45.83203125" style="7" customWidth="1"/>
    <col min="2047" max="2047" width="13.6640625" style="7" customWidth="1"/>
    <col min="2048" max="2048" width="13.33203125" style="7" customWidth="1"/>
    <col min="2049" max="2049" width="16.1640625" style="7" customWidth="1"/>
    <col min="2050" max="2050" width="15.1640625" style="7" bestFit="1" customWidth="1"/>
    <col min="2051" max="2051" width="15.83203125" style="7" customWidth="1"/>
    <col min="2052" max="2052" width="11.6640625" style="7" customWidth="1"/>
    <col min="2053" max="2299" width="9.33203125" style="7"/>
    <col min="2300" max="2300" width="7.1640625" style="7" customWidth="1"/>
    <col min="2301" max="2301" width="14.5" style="7" customWidth="1"/>
    <col min="2302" max="2302" width="45.83203125" style="7" customWidth="1"/>
    <col min="2303" max="2303" width="13.6640625" style="7" customWidth="1"/>
    <col min="2304" max="2304" width="13.33203125" style="7" customWidth="1"/>
    <col min="2305" max="2305" width="16.1640625" style="7" customWidth="1"/>
    <col min="2306" max="2306" width="15.1640625" style="7" bestFit="1" customWidth="1"/>
    <col min="2307" max="2307" width="15.83203125" style="7" customWidth="1"/>
    <col min="2308" max="2308" width="11.6640625" style="7" customWidth="1"/>
    <col min="2309" max="2555" width="9.33203125" style="7"/>
    <col min="2556" max="2556" width="7.1640625" style="7" customWidth="1"/>
    <col min="2557" max="2557" width="14.5" style="7" customWidth="1"/>
    <col min="2558" max="2558" width="45.83203125" style="7" customWidth="1"/>
    <col min="2559" max="2559" width="13.6640625" style="7" customWidth="1"/>
    <col min="2560" max="2560" width="13.33203125" style="7" customWidth="1"/>
    <col min="2561" max="2561" width="16.1640625" style="7" customWidth="1"/>
    <col min="2562" max="2562" width="15.1640625" style="7" bestFit="1" customWidth="1"/>
    <col min="2563" max="2563" width="15.83203125" style="7" customWidth="1"/>
    <col min="2564" max="2564" width="11.6640625" style="7" customWidth="1"/>
    <col min="2565" max="2811" width="9.33203125" style="7"/>
    <col min="2812" max="2812" width="7.1640625" style="7" customWidth="1"/>
    <col min="2813" max="2813" width="14.5" style="7" customWidth="1"/>
    <col min="2814" max="2814" width="45.83203125" style="7" customWidth="1"/>
    <col min="2815" max="2815" width="13.6640625" style="7" customWidth="1"/>
    <col min="2816" max="2816" width="13.33203125" style="7" customWidth="1"/>
    <col min="2817" max="2817" width="16.1640625" style="7" customWidth="1"/>
    <col min="2818" max="2818" width="15.1640625" style="7" bestFit="1" customWidth="1"/>
    <col min="2819" max="2819" width="15.83203125" style="7" customWidth="1"/>
    <col min="2820" max="2820" width="11.6640625" style="7" customWidth="1"/>
    <col min="2821" max="3067" width="9.33203125" style="7"/>
    <col min="3068" max="3068" width="7.1640625" style="7" customWidth="1"/>
    <col min="3069" max="3069" width="14.5" style="7" customWidth="1"/>
    <col min="3070" max="3070" width="45.83203125" style="7" customWidth="1"/>
    <col min="3071" max="3071" width="13.6640625" style="7" customWidth="1"/>
    <col min="3072" max="3072" width="13.33203125" style="7" customWidth="1"/>
    <col min="3073" max="3073" width="16.1640625" style="7" customWidth="1"/>
    <col min="3074" max="3074" width="15.1640625" style="7" bestFit="1" customWidth="1"/>
    <col min="3075" max="3075" width="15.83203125" style="7" customWidth="1"/>
    <col min="3076" max="3076" width="11.6640625" style="7" customWidth="1"/>
    <col min="3077" max="3323" width="9.33203125" style="7"/>
    <col min="3324" max="3324" width="7.1640625" style="7" customWidth="1"/>
    <col min="3325" max="3325" width="14.5" style="7" customWidth="1"/>
    <col min="3326" max="3326" width="45.83203125" style="7" customWidth="1"/>
    <col min="3327" max="3327" width="13.6640625" style="7" customWidth="1"/>
    <col min="3328" max="3328" width="13.33203125" style="7" customWidth="1"/>
    <col min="3329" max="3329" width="16.1640625" style="7" customWidth="1"/>
    <col min="3330" max="3330" width="15.1640625" style="7" bestFit="1" customWidth="1"/>
    <col min="3331" max="3331" width="15.83203125" style="7" customWidth="1"/>
    <col min="3332" max="3332" width="11.6640625" style="7" customWidth="1"/>
    <col min="3333" max="3579" width="9.33203125" style="7"/>
    <col min="3580" max="3580" width="7.1640625" style="7" customWidth="1"/>
    <col min="3581" max="3581" width="14.5" style="7" customWidth="1"/>
    <col min="3582" max="3582" width="45.83203125" style="7" customWidth="1"/>
    <col min="3583" max="3583" width="13.6640625" style="7" customWidth="1"/>
    <col min="3584" max="3584" width="13.33203125" style="7" customWidth="1"/>
    <col min="3585" max="3585" width="16.1640625" style="7" customWidth="1"/>
    <col min="3586" max="3586" width="15.1640625" style="7" bestFit="1" customWidth="1"/>
    <col min="3587" max="3587" width="15.83203125" style="7" customWidth="1"/>
    <col min="3588" max="3588" width="11.6640625" style="7" customWidth="1"/>
    <col min="3589" max="3835" width="9.33203125" style="7"/>
    <col min="3836" max="3836" width="7.1640625" style="7" customWidth="1"/>
    <col min="3837" max="3837" width="14.5" style="7" customWidth="1"/>
    <col min="3838" max="3838" width="45.83203125" style="7" customWidth="1"/>
    <col min="3839" max="3839" width="13.6640625" style="7" customWidth="1"/>
    <col min="3840" max="3840" width="13.33203125" style="7" customWidth="1"/>
    <col min="3841" max="3841" width="16.1640625" style="7" customWidth="1"/>
    <col min="3842" max="3842" width="15.1640625" style="7" bestFit="1" customWidth="1"/>
    <col min="3843" max="3843" width="15.83203125" style="7" customWidth="1"/>
    <col min="3844" max="3844" width="11.6640625" style="7" customWidth="1"/>
    <col min="3845" max="4091" width="9.33203125" style="7"/>
    <col min="4092" max="4092" width="7.1640625" style="7" customWidth="1"/>
    <col min="4093" max="4093" width="14.5" style="7" customWidth="1"/>
    <col min="4094" max="4094" width="45.83203125" style="7" customWidth="1"/>
    <col min="4095" max="4095" width="13.6640625" style="7" customWidth="1"/>
    <col min="4096" max="4096" width="13.33203125" style="7" customWidth="1"/>
    <col min="4097" max="4097" width="16.1640625" style="7" customWidth="1"/>
    <col min="4098" max="4098" width="15.1640625" style="7" bestFit="1" customWidth="1"/>
    <col min="4099" max="4099" width="15.83203125" style="7" customWidth="1"/>
    <col min="4100" max="4100" width="11.6640625" style="7" customWidth="1"/>
    <col min="4101" max="4347" width="9.33203125" style="7"/>
    <col min="4348" max="4348" width="7.1640625" style="7" customWidth="1"/>
    <col min="4349" max="4349" width="14.5" style="7" customWidth="1"/>
    <col min="4350" max="4350" width="45.83203125" style="7" customWidth="1"/>
    <col min="4351" max="4351" width="13.6640625" style="7" customWidth="1"/>
    <col min="4352" max="4352" width="13.33203125" style="7" customWidth="1"/>
    <col min="4353" max="4353" width="16.1640625" style="7" customWidth="1"/>
    <col min="4354" max="4354" width="15.1640625" style="7" bestFit="1" customWidth="1"/>
    <col min="4355" max="4355" width="15.83203125" style="7" customWidth="1"/>
    <col min="4356" max="4356" width="11.6640625" style="7" customWidth="1"/>
    <col min="4357" max="4603" width="9.33203125" style="7"/>
    <col min="4604" max="4604" width="7.1640625" style="7" customWidth="1"/>
    <col min="4605" max="4605" width="14.5" style="7" customWidth="1"/>
    <col min="4606" max="4606" width="45.83203125" style="7" customWidth="1"/>
    <col min="4607" max="4607" width="13.6640625" style="7" customWidth="1"/>
    <col min="4608" max="4608" width="13.33203125" style="7" customWidth="1"/>
    <col min="4609" max="4609" width="16.1640625" style="7" customWidth="1"/>
    <col min="4610" max="4610" width="15.1640625" style="7" bestFit="1" customWidth="1"/>
    <col min="4611" max="4611" width="15.83203125" style="7" customWidth="1"/>
    <col min="4612" max="4612" width="11.6640625" style="7" customWidth="1"/>
    <col min="4613" max="4859" width="9.33203125" style="7"/>
    <col min="4860" max="4860" width="7.1640625" style="7" customWidth="1"/>
    <col min="4861" max="4861" width="14.5" style="7" customWidth="1"/>
    <col min="4862" max="4862" width="45.83203125" style="7" customWidth="1"/>
    <col min="4863" max="4863" width="13.6640625" style="7" customWidth="1"/>
    <col min="4864" max="4864" width="13.33203125" style="7" customWidth="1"/>
    <col min="4865" max="4865" width="16.1640625" style="7" customWidth="1"/>
    <col min="4866" max="4866" width="15.1640625" style="7" bestFit="1" customWidth="1"/>
    <col min="4867" max="4867" width="15.83203125" style="7" customWidth="1"/>
    <col min="4868" max="4868" width="11.6640625" style="7" customWidth="1"/>
    <col min="4869" max="5115" width="9.33203125" style="7"/>
    <col min="5116" max="5116" width="7.1640625" style="7" customWidth="1"/>
    <col min="5117" max="5117" width="14.5" style="7" customWidth="1"/>
    <col min="5118" max="5118" width="45.83203125" style="7" customWidth="1"/>
    <col min="5119" max="5119" width="13.6640625" style="7" customWidth="1"/>
    <col min="5120" max="5120" width="13.33203125" style="7" customWidth="1"/>
    <col min="5121" max="5121" width="16.1640625" style="7" customWidth="1"/>
    <col min="5122" max="5122" width="15.1640625" style="7" bestFit="1" customWidth="1"/>
    <col min="5123" max="5123" width="15.83203125" style="7" customWidth="1"/>
    <col min="5124" max="5124" width="11.6640625" style="7" customWidth="1"/>
    <col min="5125" max="5371" width="9.33203125" style="7"/>
    <col min="5372" max="5372" width="7.1640625" style="7" customWidth="1"/>
    <col min="5373" max="5373" width="14.5" style="7" customWidth="1"/>
    <col min="5374" max="5374" width="45.83203125" style="7" customWidth="1"/>
    <col min="5375" max="5375" width="13.6640625" style="7" customWidth="1"/>
    <col min="5376" max="5376" width="13.33203125" style="7" customWidth="1"/>
    <col min="5377" max="5377" width="16.1640625" style="7" customWidth="1"/>
    <col min="5378" max="5378" width="15.1640625" style="7" bestFit="1" customWidth="1"/>
    <col min="5379" max="5379" width="15.83203125" style="7" customWidth="1"/>
    <col min="5380" max="5380" width="11.6640625" style="7" customWidth="1"/>
    <col min="5381" max="5627" width="9.33203125" style="7"/>
    <col min="5628" max="5628" width="7.1640625" style="7" customWidth="1"/>
    <col min="5629" max="5629" width="14.5" style="7" customWidth="1"/>
    <col min="5630" max="5630" width="45.83203125" style="7" customWidth="1"/>
    <col min="5631" max="5631" width="13.6640625" style="7" customWidth="1"/>
    <col min="5632" max="5632" width="13.33203125" style="7" customWidth="1"/>
    <col min="5633" max="5633" width="16.1640625" style="7" customWidth="1"/>
    <col min="5634" max="5634" width="15.1640625" style="7" bestFit="1" customWidth="1"/>
    <col min="5635" max="5635" width="15.83203125" style="7" customWidth="1"/>
    <col min="5636" max="5636" width="11.6640625" style="7" customWidth="1"/>
    <col min="5637" max="5883" width="9.33203125" style="7"/>
    <col min="5884" max="5884" width="7.1640625" style="7" customWidth="1"/>
    <col min="5885" max="5885" width="14.5" style="7" customWidth="1"/>
    <col min="5886" max="5886" width="45.83203125" style="7" customWidth="1"/>
    <col min="5887" max="5887" width="13.6640625" style="7" customWidth="1"/>
    <col min="5888" max="5888" width="13.33203125" style="7" customWidth="1"/>
    <col min="5889" max="5889" width="16.1640625" style="7" customWidth="1"/>
    <col min="5890" max="5890" width="15.1640625" style="7" bestFit="1" customWidth="1"/>
    <col min="5891" max="5891" width="15.83203125" style="7" customWidth="1"/>
    <col min="5892" max="5892" width="11.6640625" style="7" customWidth="1"/>
    <col min="5893" max="6139" width="9.33203125" style="7"/>
    <col min="6140" max="6140" width="7.1640625" style="7" customWidth="1"/>
    <col min="6141" max="6141" width="14.5" style="7" customWidth="1"/>
    <col min="6142" max="6142" width="45.83203125" style="7" customWidth="1"/>
    <col min="6143" max="6143" width="13.6640625" style="7" customWidth="1"/>
    <col min="6144" max="6144" width="13.33203125" style="7" customWidth="1"/>
    <col min="6145" max="6145" width="16.1640625" style="7" customWidth="1"/>
    <col min="6146" max="6146" width="15.1640625" style="7" bestFit="1" customWidth="1"/>
    <col min="6147" max="6147" width="15.83203125" style="7" customWidth="1"/>
    <col min="6148" max="6148" width="11.6640625" style="7" customWidth="1"/>
    <col min="6149" max="6395" width="9.33203125" style="7"/>
    <col min="6396" max="6396" width="7.1640625" style="7" customWidth="1"/>
    <col min="6397" max="6397" width="14.5" style="7" customWidth="1"/>
    <col min="6398" max="6398" width="45.83203125" style="7" customWidth="1"/>
    <col min="6399" max="6399" width="13.6640625" style="7" customWidth="1"/>
    <col min="6400" max="6400" width="13.33203125" style="7" customWidth="1"/>
    <col min="6401" max="6401" width="16.1640625" style="7" customWidth="1"/>
    <col min="6402" max="6402" width="15.1640625" style="7" bestFit="1" customWidth="1"/>
    <col min="6403" max="6403" width="15.83203125" style="7" customWidth="1"/>
    <col min="6404" max="6404" width="11.6640625" style="7" customWidth="1"/>
    <col min="6405" max="6651" width="9.33203125" style="7"/>
    <col min="6652" max="6652" width="7.1640625" style="7" customWidth="1"/>
    <col min="6653" max="6653" width="14.5" style="7" customWidth="1"/>
    <col min="6654" max="6654" width="45.83203125" style="7" customWidth="1"/>
    <col min="6655" max="6655" width="13.6640625" style="7" customWidth="1"/>
    <col min="6656" max="6656" width="13.33203125" style="7" customWidth="1"/>
    <col min="6657" max="6657" width="16.1640625" style="7" customWidth="1"/>
    <col min="6658" max="6658" width="15.1640625" style="7" bestFit="1" customWidth="1"/>
    <col min="6659" max="6659" width="15.83203125" style="7" customWidth="1"/>
    <col min="6660" max="6660" width="11.6640625" style="7" customWidth="1"/>
    <col min="6661" max="6907" width="9.33203125" style="7"/>
    <col min="6908" max="6908" width="7.1640625" style="7" customWidth="1"/>
    <col min="6909" max="6909" width="14.5" style="7" customWidth="1"/>
    <col min="6910" max="6910" width="45.83203125" style="7" customWidth="1"/>
    <col min="6911" max="6911" width="13.6640625" style="7" customWidth="1"/>
    <col min="6912" max="6912" width="13.33203125" style="7" customWidth="1"/>
    <col min="6913" max="6913" width="16.1640625" style="7" customWidth="1"/>
    <col min="6914" max="6914" width="15.1640625" style="7" bestFit="1" customWidth="1"/>
    <col min="6915" max="6915" width="15.83203125" style="7" customWidth="1"/>
    <col min="6916" max="6916" width="11.6640625" style="7" customWidth="1"/>
    <col min="6917" max="7163" width="9.33203125" style="7"/>
    <col min="7164" max="7164" width="7.1640625" style="7" customWidth="1"/>
    <col min="7165" max="7165" width="14.5" style="7" customWidth="1"/>
    <col min="7166" max="7166" width="45.83203125" style="7" customWidth="1"/>
    <col min="7167" max="7167" width="13.6640625" style="7" customWidth="1"/>
    <col min="7168" max="7168" width="13.33203125" style="7" customWidth="1"/>
    <col min="7169" max="7169" width="16.1640625" style="7" customWidth="1"/>
    <col min="7170" max="7170" width="15.1640625" style="7" bestFit="1" customWidth="1"/>
    <col min="7171" max="7171" width="15.83203125" style="7" customWidth="1"/>
    <col min="7172" max="7172" width="11.6640625" style="7" customWidth="1"/>
    <col min="7173" max="7419" width="9.33203125" style="7"/>
    <col min="7420" max="7420" width="7.1640625" style="7" customWidth="1"/>
    <col min="7421" max="7421" width="14.5" style="7" customWidth="1"/>
    <col min="7422" max="7422" width="45.83203125" style="7" customWidth="1"/>
    <col min="7423" max="7423" width="13.6640625" style="7" customWidth="1"/>
    <col min="7424" max="7424" width="13.33203125" style="7" customWidth="1"/>
    <col min="7425" max="7425" width="16.1640625" style="7" customWidth="1"/>
    <col min="7426" max="7426" width="15.1640625" style="7" bestFit="1" customWidth="1"/>
    <col min="7427" max="7427" width="15.83203125" style="7" customWidth="1"/>
    <col min="7428" max="7428" width="11.6640625" style="7" customWidth="1"/>
    <col min="7429" max="7675" width="9.33203125" style="7"/>
    <col min="7676" max="7676" width="7.1640625" style="7" customWidth="1"/>
    <col min="7677" max="7677" width="14.5" style="7" customWidth="1"/>
    <col min="7678" max="7678" width="45.83203125" style="7" customWidth="1"/>
    <col min="7679" max="7679" width="13.6640625" style="7" customWidth="1"/>
    <col min="7680" max="7680" width="13.33203125" style="7" customWidth="1"/>
    <col min="7681" max="7681" width="16.1640625" style="7" customWidth="1"/>
    <col min="7682" max="7682" width="15.1640625" style="7" bestFit="1" customWidth="1"/>
    <col min="7683" max="7683" width="15.83203125" style="7" customWidth="1"/>
    <col min="7684" max="7684" width="11.6640625" style="7" customWidth="1"/>
    <col min="7685" max="7931" width="9.33203125" style="7"/>
    <col min="7932" max="7932" width="7.1640625" style="7" customWidth="1"/>
    <col min="7933" max="7933" width="14.5" style="7" customWidth="1"/>
    <col min="7934" max="7934" width="45.83203125" style="7" customWidth="1"/>
    <col min="7935" max="7935" width="13.6640625" style="7" customWidth="1"/>
    <col min="7936" max="7936" width="13.33203125" style="7" customWidth="1"/>
    <col min="7937" max="7937" width="16.1640625" style="7" customWidth="1"/>
    <col min="7938" max="7938" width="15.1640625" style="7" bestFit="1" customWidth="1"/>
    <col min="7939" max="7939" width="15.83203125" style="7" customWidth="1"/>
    <col min="7940" max="7940" width="11.6640625" style="7" customWidth="1"/>
    <col min="7941" max="8187" width="9.33203125" style="7"/>
    <col min="8188" max="8188" width="7.1640625" style="7" customWidth="1"/>
    <col min="8189" max="8189" width="14.5" style="7" customWidth="1"/>
    <col min="8190" max="8190" width="45.83203125" style="7" customWidth="1"/>
    <col min="8191" max="8191" width="13.6640625" style="7" customWidth="1"/>
    <col min="8192" max="8192" width="13.33203125" style="7" customWidth="1"/>
    <col min="8193" max="8193" width="16.1640625" style="7" customWidth="1"/>
    <col min="8194" max="8194" width="15.1640625" style="7" bestFit="1" customWidth="1"/>
    <col min="8195" max="8195" width="15.83203125" style="7" customWidth="1"/>
    <col min="8196" max="8196" width="11.6640625" style="7" customWidth="1"/>
    <col min="8197" max="8443" width="9.33203125" style="7"/>
    <col min="8444" max="8444" width="7.1640625" style="7" customWidth="1"/>
    <col min="8445" max="8445" width="14.5" style="7" customWidth="1"/>
    <col min="8446" max="8446" width="45.83203125" style="7" customWidth="1"/>
    <col min="8447" max="8447" width="13.6640625" style="7" customWidth="1"/>
    <col min="8448" max="8448" width="13.33203125" style="7" customWidth="1"/>
    <col min="8449" max="8449" width="16.1640625" style="7" customWidth="1"/>
    <col min="8450" max="8450" width="15.1640625" style="7" bestFit="1" customWidth="1"/>
    <col min="8451" max="8451" width="15.83203125" style="7" customWidth="1"/>
    <col min="8452" max="8452" width="11.6640625" style="7" customWidth="1"/>
    <col min="8453" max="8699" width="9.33203125" style="7"/>
    <col min="8700" max="8700" width="7.1640625" style="7" customWidth="1"/>
    <col min="8701" max="8701" width="14.5" style="7" customWidth="1"/>
    <col min="8702" max="8702" width="45.83203125" style="7" customWidth="1"/>
    <col min="8703" max="8703" width="13.6640625" style="7" customWidth="1"/>
    <col min="8704" max="8704" width="13.33203125" style="7" customWidth="1"/>
    <col min="8705" max="8705" width="16.1640625" style="7" customWidth="1"/>
    <col min="8706" max="8706" width="15.1640625" style="7" bestFit="1" customWidth="1"/>
    <col min="8707" max="8707" width="15.83203125" style="7" customWidth="1"/>
    <col min="8708" max="8708" width="11.6640625" style="7" customWidth="1"/>
    <col min="8709" max="8955" width="9.33203125" style="7"/>
    <col min="8956" max="8956" width="7.1640625" style="7" customWidth="1"/>
    <col min="8957" max="8957" width="14.5" style="7" customWidth="1"/>
    <col min="8958" max="8958" width="45.83203125" style="7" customWidth="1"/>
    <col min="8959" max="8959" width="13.6640625" style="7" customWidth="1"/>
    <col min="8960" max="8960" width="13.33203125" style="7" customWidth="1"/>
    <col min="8961" max="8961" width="16.1640625" style="7" customWidth="1"/>
    <col min="8962" max="8962" width="15.1640625" style="7" bestFit="1" customWidth="1"/>
    <col min="8963" max="8963" width="15.83203125" style="7" customWidth="1"/>
    <col min="8964" max="8964" width="11.6640625" style="7" customWidth="1"/>
    <col min="8965" max="9211" width="9.33203125" style="7"/>
    <col min="9212" max="9212" width="7.1640625" style="7" customWidth="1"/>
    <col min="9213" max="9213" width="14.5" style="7" customWidth="1"/>
    <col min="9214" max="9214" width="45.83203125" style="7" customWidth="1"/>
    <col min="9215" max="9215" width="13.6640625" style="7" customWidth="1"/>
    <col min="9216" max="9216" width="13.33203125" style="7" customWidth="1"/>
    <col min="9217" max="9217" width="16.1640625" style="7" customWidth="1"/>
    <col min="9218" max="9218" width="15.1640625" style="7" bestFit="1" customWidth="1"/>
    <col min="9219" max="9219" width="15.83203125" style="7" customWidth="1"/>
    <col min="9220" max="9220" width="11.6640625" style="7" customWidth="1"/>
    <col min="9221" max="9467" width="9.33203125" style="7"/>
    <col min="9468" max="9468" width="7.1640625" style="7" customWidth="1"/>
    <col min="9469" max="9469" width="14.5" style="7" customWidth="1"/>
    <col min="9470" max="9470" width="45.83203125" style="7" customWidth="1"/>
    <col min="9471" max="9471" width="13.6640625" style="7" customWidth="1"/>
    <col min="9472" max="9472" width="13.33203125" style="7" customWidth="1"/>
    <col min="9473" max="9473" width="16.1640625" style="7" customWidth="1"/>
    <col min="9474" max="9474" width="15.1640625" style="7" bestFit="1" customWidth="1"/>
    <col min="9475" max="9475" width="15.83203125" style="7" customWidth="1"/>
    <col min="9476" max="9476" width="11.6640625" style="7" customWidth="1"/>
    <col min="9477" max="9723" width="9.33203125" style="7"/>
    <col min="9724" max="9724" width="7.1640625" style="7" customWidth="1"/>
    <col min="9725" max="9725" width="14.5" style="7" customWidth="1"/>
    <col min="9726" max="9726" width="45.83203125" style="7" customWidth="1"/>
    <col min="9727" max="9727" width="13.6640625" style="7" customWidth="1"/>
    <col min="9728" max="9728" width="13.33203125" style="7" customWidth="1"/>
    <col min="9729" max="9729" width="16.1640625" style="7" customWidth="1"/>
    <col min="9730" max="9730" width="15.1640625" style="7" bestFit="1" customWidth="1"/>
    <col min="9731" max="9731" width="15.83203125" style="7" customWidth="1"/>
    <col min="9732" max="9732" width="11.6640625" style="7" customWidth="1"/>
    <col min="9733" max="9979" width="9.33203125" style="7"/>
    <col min="9980" max="9980" width="7.1640625" style="7" customWidth="1"/>
    <col min="9981" max="9981" width="14.5" style="7" customWidth="1"/>
    <col min="9982" max="9982" width="45.83203125" style="7" customWidth="1"/>
    <col min="9983" max="9983" width="13.6640625" style="7" customWidth="1"/>
    <col min="9984" max="9984" width="13.33203125" style="7" customWidth="1"/>
    <col min="9985" max="9985" width="16.1640625" style="7" customWidth="1"/>
    <col min="9986" max="9986" width="15.1640625" style="7" bestFit="1" customWidth="1"/>
    <col min="9987" max="9987" width="15.83203125" style="7" customWidth="1"/>
    <col min="9988" max="9988" width="11.6640625" style="7" customWidth="1"/>
    <col min="9989" max="10235" width="9.33203125" style="7"/>
    <col min="10236" max="10236" width="7.1640625" style="7" customWidth="1"/>
    <col min="10237" max="10237" width="14.5" style="7" customWidth="1"/>
    <col min="10238" max="10238" width="45.83203125" style="7" customWidth="1"/>
    <col min="10239" max="10239" width="13.6640625" style="7" customWidth="1"/>
    <col min="10240" max="10240" width="13.33203125" style="7" customWidth="1"/>
    <col min="10241" max="10241" width="16.1640625" style="7" customWidth="1"/>
    <col min="10242" max="10242" width="15.1640625" style="7" bestFit="1" customWidth="1"/>
    <col min="10243" max="10243" width="15.83203125" style="7" customWidth="1"/>
    <col min="10244" max="10244" width="11.6640625" style="7" customWidth="1"/>
    <col min="10245" max="10491" width="9.33203125" style="7"/>
    <col min="10492" max="10492" width="7.1640625" style="7" customWidth="1"/>
    <col min="10493" max="10493" width="14.5" style="7" customWidth="1"/>
    <col min="10494" max="10494" width="45.83203125" style="7" customWidth="1"/>
    <col min="10495" max="10495" width="13.6640625" style="7" customWidth="1"/>
    <col min="10496" max="10496" width="13.33203125" style="7" customWidth="1"/>
    <col min="10497" max="10497" width="16.1640625" style="7" customWidth="1"/>
    <col min="10498" max="10498" width="15.1640625" style="7" bestFit="1" customWidth="1"/>
    <col min="10499" max="10499" width="15.83203125" style="7" customWidth="1"/>
    <col min="10500" max="10500" width="11.6640625" style="7" customWidth="1"/>
    <col min="10501" max="10747" width="9.33203125" style="7"/>
    <col min="10748" max="10748" width="7.1640625" style="7" customWidth="1"/>
    <col min="10749" max="10749" width="14.5" style="7" customWidth="1"/>
    <col min="10750" max="10750" width="45.83203125" style="7" customWidth="1"/>
    <col min="10751" max="10751" width="13.6640625" style="7" customWidth="1"/>
    <col min="10752" max="10752" width="13.33203125" style="7" customWidth="1"/>
    <col min="10753" max="10753" width="16.1640625" style="7" customWidth="1"/>
    <col min="10754" max="10754" width="15.1640625" style="7" bestFit="1" customWidth="1"/>
    <col min="10755" max="10755" width="15.83203125" style="7" customWidth="1"/>
    <col min="10756" max="10756" width="11.6640625" style="7" customWidth="1"/>
    <col min="10757" max="11003" width="9.33203125" style="7"/>
    <col min="11004" max="11004" width="7.1640625" style="7" customWidth="1"/>
    <col min="11005" max="11005" width="14.5" style="7" customWidth="1"/>
    <col min="11006" max="11006" width="45.83203125" style="7" customWidth="1"/>
    <col min="11007" max="11007" width="13.6640625" style="7" customWidth="1"/>
    <col min="11008" max="11008" width="13.33203125" style="7" customWidth="1"/>
    <col min="11009" max="11009" width="16.1640625" style="7" customWidth="1"/>
    <col min="11010" max="11010" width="15.1640625" style="7" bestFit="1" customWidth="1"/>
    <col min="11011" max="11011" width="15.83203125" style="7" customWidth="1"/>
    <col min="11012" max="11012" width="11.6640625" style="7" customWidth="1"/>
    <col min="11013" max="11259" width="9.33203125" style="7"/>
    <col min="11260" max="11260" width="7.1640625" style="7" customWidth="1"/>
    <col min="11261" max="11261" width="14.5" style="7" customWidth="1"/>
    <col min="11262" max="11262" width="45.83203125" style="7" customWidth="1"/>
    <col min="11263" max="11263" width="13.6640625" style="7" customWidth="1"/>
    <col min="11264" max="11264" width="13.33203125" style="7" customWidth="1"/>
    <col min="11265" max="11265" width="16.1640625" style="7" customWidth="1"/>
    <col min="11266" max="11266" width="15.1640625" style="7" bestFit="1" customWidth="1"/>
    <col min="11267" max="11267" width="15.83203125" style="7" customWidth="1"/>
    <col min="11268" max="11268" width="11.6640625" style="7" customWidth="1"/>
    <col min="11269" max="11515" width="9.33203125" style="7"/>
    <col min="11516" max="11516" width="7.1640625" style="7" customWidth="1"/>
    <col min="11517" max="11517" width="14.5" style="7" customWidth="1"/>
    <col min="11518" max="11518" width="45.83203125" style="7" customWidth="1"/>
    <col min="11519" max="11519" width="13.6640625" style="7" customWidth="1"/>
    <col min="11520" max="11520" width="13.33203125" style="7" customWidth="1"/>
    <col min="11521" max="11521" width="16.1640625" style="7" customWidth="1"/>
    <col min="11522" max="11522" width="15.1640625" style="7" bestFit="1" customWidth="1"/>
    <col min="11523" max="11523" width="15.83203125" style="7" customWidth="1"/>
    <col min="11524" max="11524" width="11.6640625" style="7" customWidth="1"/>
    <col min="11525" max="11771" width="9.33203125" style="7"/>
    <col min="11772" max="11772" width="7.1640625" style="7" customWidth="1"/>
    <col min="11773" max="11773" width="14.5" style="7" customWidth="1"/>
    <col min="11774" max="11774" width="45.83203125" style="7" customWidth="1"/>
    <col min="11775" max="11775" width="13.6640625" style="7" customWidth="1"/>
    <col min="11776" max="11776" width="13.33203125" style="7" customWidth="1"/>
    <col min="11777" max="11777" width="16.1640625" style="7" customWidth="1"/>
    <col min="11778" max="11778" width="15.1640625" style="7" bestFit="1" customWidth="1"/>
    <col min="11779" max="11779" width="15.83203125" style="7" customWidth="1"/>
    <col min="11780" max="11780" width="11.6640625" style="7" customWidth="1"/>
    <col min="11781" max="12027" width="9.33203125" style="7"/>
    <col min="12028" max="12028" width="7.1640625" style="7" customWidth="1"/>
    <col min="12029" max="12029" width="14.5" style="7" customWidth="1"/>
    <col min="12030" max="12030" width="45.83203125" style="7" customWidth="1"/>
    <col min="12031" max="12031" width="13.6640625" style="7" customWidth="1"/>
    <col min="12032" max="12032" width="13.33203125" style="7" customWidth="1"/>
    <col min="12033" max="12033" width="16.1640625" style="7" customWidth="1"/>
    <col min="12034" max="12034" width="15.1640625" style="7" bestFit="1" customWidth="1"/>
    <col min="12035" max="12035" width="15.83203125" style="7" customWidth="1"/>
    <col min="12036" max="12036" width="11.6640625" style="7" customWidth="1"/>
    <col min="12037" max="12283" width="9.33203125" style="7"/>
    <col min="12284" max="12284" width="7.1640625" style="7" customWidth="1"/>
    <col min="12285" max="12285" width="14.5" style="7" customWidth="1"/>
    <col min="12286" max="12286" width="45.83203125" style="7" customWidth="1"/>
    <col min="12287" max="12287" width="13.6640625" style="7" customWidth="1"/>
    <col min="12288" max="12288" width="13.33203125" style="7" customWidth="1"/>
    <col min="12289" max="12289" width="16.1640625" style="7" customWidth="1"/>
    <col min="12290" max="12290" width="15.1640625" style="7" bestFit="1" customWidth="1"/>
    <col min="12291" max="12291" width="15.83203125" style="7" customWidth="1"/>
    <col min="12292" max="12292" width="11.6640625" style="7" customWidth="1"/>
    <col min="12293" max="12539" width="9.33203125" style="7"/>
    <col min="12540" max="12540" width="7.1640625" style="7" customWidth="1"/>
    <col min="12541" max="12541" width="14.5" style="7" customWidth="1"/>
    <col min="12542" max="12542" width="45.83203125" style="7" customWidth="1"/>
    <col min="12543" max="12543" width="13.6640625" style="7" customWidth="1"/>
    <col min="12544" max="12544" width="13.33203125" style="7" customWidth="1"/>
    <col min="12545" max="12545" width="16.1640625" style="7" customWidth="1"/>
    <col min="12546" max="12546" width="15.1640625" style="7" bestFit="1" customWidth="1"/>
    <col min="12547" max="12547" width="15.83203125" style="7" customWidth="1"/>
    <col min="12548" max="12548" width="11.6640625" style="7" customWidth="1"/>
    <col min="12549" max="12795" width="9.33203125" style="7"/>
    <col min="12796" max="12796" width="7.1640625" style="7" customWidth="1"/>
    <col min="12797" max="12797" width="14.5" style="7" customWidth="1"/>
    <col min="12798" max="12798" width="45.83203125" style="7" customWidth="1"/>
    <col min="12799" max="12799" width="13.6640625" style="7" customWidth="1"/>
    <col min="12800" max="12800" width="13.33203125" style="7" customWidth="1"/>
    <col min="12801" max="12801" width="16.1640625" style="7" customWidth="1"/>
    <col min="12802" max="12802" width="15.1640625" style="7" bestFit="1" customWidth="1"/>
    <col min="12803" max="12803" width="15.83203125" style="7" customWidth="1"/>
    <col min="12804" max="12804" width="11.6640625" style="7" customWidth="1"/>
    <col min="12805" max="13051" width="9.33203125" style="7"/>
    <col min="13052" max="13052" width="7.1640625" style="7" customWidth="1"/>
    <col min="13053" max="13053" width="14.5" style="7" customWidth="1"/>
    <col min="13054" max="13054" width="45.83203125" style="7" customWidth="1"/>
    <col min="13055" max="13055" width="13.6640625" style="7" customWidth="1"/>
    <col min="13056" max="13056" width="13.33203125" style="7" customWidth="1"/>
    <col min="13057" max="13057" width="16.1640625" style="7" customWidth="1"/>
    <col min="13058" max="13058" width="15.1640625" style="7" bestFit="1" customWidth="1"/>
    <col min="13059" max="13059" width="15.83203125" style="7" customWidth="1"/>
    <col min="13060" max="13060" width="11.6640625" style="7" customWidth="1"/>
    <col min="13061" max="13307" width="9.33203125" style="7"/>
    <col min="13308" max="13308" width="7.1640625" style="7" customWidth="1"/>
    <col min="13309" max="13309" width="14.5" style="7" customWidth="1"/>
    <col min="13310" max="13310" width="45.83203125" style="7" customWidth="1"/>
    <col min="13311" max="13311" width="13.6640625" style="7" customWidth="1"/>
    <col min="13312" max="13312" width="13.33203125" style="7" customWidth="1"/>
    <col min="13313" max="13313" width="16.1640625" style="7" customWidth="1"/>
    <col min="13314" max="13314" width="15.1640625" style="7" bestFit="1" customWidth="1"/>
    <col min="13315" max="13315" width="15.83203125" style="7" customWidth="1"/>
    <col min="13316" max="13316" width="11.6640625" style="7" customWidth="1"/>
    <col min="13317" max="13563" width="9.33203125" style="7"/>
    <col min="13564" max="13564" width="7.1640625" style="7" customWidth="1"/>
    <col min="13565" max="13565" width="14.5" style="7" customWidth="1"/>
    <col min="13566" max="13566" width="45.83203125" style="7" customWidth="1"/>
    <col min="13567" max="13567" width="13.6640625" style="7" customWidth="1"/>
    <col min="13568" max="13568" width="13.33203125" style="7" customWidth="1"/>
    <col min="13569" max="13569" width="16.1640625" style="7" customWidth="1"/>
    <col min="13570" max="13570" width="15.1640625" style="7" bestFit="1" customWidth="1"/>
    <col min="13571" max="13571" width="15.83203125" style="7" customWidth="1"/>
    <col min="13572" max="13572" width="11.6640625" style="7" customWidth="1"/>
    <col min="13573" max="13819" width="9.33203125" style="7"/>
    <col min="13820" max="13820" width="7.1640625" style="7" customWidth="1"/>
    <col min="13821" max="13821" width="14.5" style="7" customWidth="1"/>
    <col min="13822" max="13822" width="45.83203125" style="7" customWidth="1"/>
    <col min="13823" max="13823" width="13.6640625" style="7" customWidth="1"/>
    <col min="13824" max="13824" width="13.33203125" style="7" customWidth="1"/>
    <col min="13825" max="13825" width="16.1640625" style="7" customWidth="1"/>
    <col min="13826" max="13826" width="15.1640625" style="7" bestFit="1" customWidth="1"/>
    <col min="13827" max="13827" width="15.83203125" style="7" customWidth="1"/>
    <col min="13828" max="13828" width="11.6640625" style="7" customWidth="1"/>
    <col min="13829" max="14075" width="9.33203125" style="7"/>
    <col min="14076" max="14076" width="7.1640625" style="7" customWidth="1"/>
    <col min="14077" max="14077" width="14.5" style="7" customWidth="1"/>
    <col min="14078" max="14078" width="45.83203125" style="7" customWidth="1"/>
    <col min="14079" max="14079" width="13.6640625" style="7" customWidth="1"/>
    <col min="14080" max="14080" width="13.33203125" style="7" customWidth="1"/>
    <col min="14081" max="14081" width="16.1640625" style="7" customWidth="1"/>
    <col min="14082" max="14082" width="15.1640625" style="7" bestFit="1" customWidth="1"/>
    <col min="14083" max="14083" width="15.83203125" style="7" customWidth="1"/>
    <col min="14084" max="14084" width="11.6640625" style="7" customWidth="1"/>
    <col min="14085" max="14331" width="9.33203125" style="7"/>
    <col min="14332" max="14332" width="7.1640625" style="7" customWidth="1"/>
    <col min="14333" max="14333" width="14.5" style="7" customWidth="1"/>
    <col min="14334" max="14334" width="45.83203125" style="7" customWidth="1"/>
    <col min="14335" max="14335" width="13.6640625" style="7" customWidth="1"/>
    <col min="14336" max="14336" width="13.33203125" style="7" customWidth="1"/>
    <col min="14337" max="14337" width="16.1640625" style="7" customWidth="1"/>
    <col min="14338" max="14338" width="15.1640625" style="7" bestFit="1" customWidth="1"/>
    <col min="14339" max="14339" width="15.83203125" style="7" customWidth="1"/>
    <col min="14340" max="14340" width="11.6640625" style="7" customWidth="1"/>
    <col min="14341" max="14587" width="9.33203125" style="7"/>
    <col min="14588" max="14588" width="7.1640625" style="7" customWidth="1"/>
    <col min="14589" max="14589" width="14.5" style="7" customWidth="1"/>
    <col min="14590" max="14590" width="45.83203125" style="7" customWidth="1"/>
    <col min="14591" max="14591" width="13.6640625" style="7" customWidth="1"/>
    <col min="14592" max="14592" width="13.33203125" style="7" customWidth="1"/>
    <col min="14593" max="14593" width="16.1640625" style="7" customWidth="1"/>
    <col min="14594" max="14594" width="15.1640625" style="7" bestFit="1" customWidth="1"/>
    <col min="14595" max="14595" width="15.83203125" style="7" customWidth="1"/>
    <col min="14596" max="14596" width="11.6640625" style="7" customWidth="1"/>
    <col min="14597" max="14843" width="9.33203125" style="7"/>
    <col min="14844" max="14844" width="7.1640625" style="7" customWidth="1"/>
    <col min="14845" max="14845" width="14.5" style="7" customWidth="1"/>
    <col min="14846" max="14846" width="45.83203125" style="7" customWidth="1"/>
    <col min="14847" max="14847" width="13.6640625" style="7" customWidth="1"/>
    <col min="14848" max="14848" width="13.33203125" style="7" customWidth="1"/>
    <col min="14849" max="14849" width="16.1640625" style="7" customWidth="1"/>
    <col min="14850" max="14850" width="15.1640625" style="7" bestFit="1" customWidth="1"/>
    <col min="14851" max="14851" width="15.83203125" style="7" customWidth="1"/>
    <col min="14852" max="14852" width="11.6640625" style="7" customWidth="1"/>
    <col min="14853" max="15099" width="9.33203125" style="7"/>
    <col min="15100" max="15100" width="7.1640625" style="7" customWidth="1"/>
    <col min="15101" max="15101" width="14.5" style="7" customWidth="1"/>
    <col min="15102" max="15102" width="45.83203125" style="7" customWidth="1"/>
    <col min="15103" max="15103" width="13.6640625" style="7" customWidth="1"/>
    <col min="15104" max="15104" width="13.33203125" style="7" customWidth="1"/>
    <col min="15105" max="15105" width="16.1640625" style="7" customWidth="1"/>
    <col min="15106" max="15106" width="15.1640625" style="7" bestFit="1" customWidth="1"/>
    <col min="15107" max="15107" width="15.83203125" style="7" customWidth="1"/>
    <col min="15108" max="15108" width="11.6640625" style="7" customWidth="1"/>
    <col min="15109" max="15355" width="9.33203125" style="7"/>
    <col min="15356" max="15356" width="7.1640625" style="7" customWidth="1"/>
    <col min="15357" max="15357" width="14.5" style="7" customWidth="1"/>
    <col min="15358" max="15358" width="45.83203125" style="7" customWidth="1"/>
    <col min="15359" max="15359" width="13.6640625" style="7" customWidth="1"/>
    <col min="15360" max="15360" width="13.33203125" style="7" customWidth="1"/>
    <col min="15361" max="15361" width="16.1640625" style="7" customWidth="1"/>
    <col min="15362" max="15362" width="15.1640625" style="7" bestFit="1" customWidth="1"/>
    <col min="15363" max="15363" width="15.83203125" style="7" customWidth="1"/>
    <col min="15364" max="15364" width="11.6640625" style="7" customWidth="1"/>
    <col min="15365" max="15611" width="9.33203125" style="7"/>
    <col min="15612" max="15612" width="7.1640625" style="7" customWidth="1"/>
    <col min="15613" max="15613" width="14.5" style="7" customWidth="1"/>
    <col min="15614" max="15614" width="45.83203125" style="7" customWidth="1"/>
    <col min="15615" max="15615" width="13.6640625" style="7" customWidth="1"/>
    <col min="15616" max="15616" width="13.33203125" style="7" customWidth="1"/>
    <col min="15617" max="15617" width="16.1640625" style="7" customWidth="1"/>
    <col min="15618" max="15618" width="15.1640625" style="7" bestFit="1" customWidth="1"/>
    <col min="15619" max="15619" width="15.83203125" style="7" customWidth="1"/>
    <col min="15620" max="15620" width="11.6640625" style="7" customWidth="1"/>
    <col min="15621" max="15867" width="9.33203125" style="7"/>
    <col min="15868" max="15868" width="7.1640625" style="7" customWidth="1"/>
    <col min="15869" max="15869" width="14.5" style="7" customWidth="1"/>
    <col min="15870" max="15870" width="45.83203125" style="7" customWidth="1"/>
    <col min="15871" max="15871" width="13.6640625" style="7" customWidth="1"/>
    <col min="15872" max="15872" width="13.33203125" style="7" customWidth="1"/>
    <col min="15873" max="15873" width="16.1640625" style="7" customWidth="1"/>
    <col min="15874" max="15874" width="15.1640625" style="7" bestFit="1" customWidth="1"/>
    <col min="15875" max="15875" width="15.83203125" style="7" customWidth="1"/>
    <col min="15876" max="15876" width="11.6640625" style="7" customWidth="1"/>
    <col min="15877" max="16123" width="9.33203125" style="7"/>
    <col min="16124" max="16124" width="7.1640625" style="7" customWidth="1"/>
    <col min="16125" max="16125" width="14.5" style="7" customWidth="1"/>
    <col min="16126" max="16126" width="45.83203125" style="7" customWidth="1"/>
    <col min="16127" max="16127" width="13.6640625" style="7" customWidth="1"/>
    <col min="16128" max="16128" width="13.33203125" style="7" customWidth="1"/>
    <col min="16129" max="16129" width="16.1640625" style="7" customWidth="1"/>
    <col min="16130" max="16130" width="15.1640625" style="7" bestFit="1" customWidth="1"/>
    <col min="16131" max="16131" width="15.83203125" style="7" customWidth="1"/>
    <col min="16132" max="16132" width="11.6640625" style="7" customWidth="1"/>
    <col min="16133" max="16384" width="9.33203125" style="7"/>
  </cols>
  <sheetData>
    <row r="2" spans="1:9" ht="15" x14ac:dyDescent="0.25">
      <c r="A2" s="184"/>
      <c r="F2" s="282" t="s">
        <v>177</v>
      </c>
      <c r="G2" s="282"/>
      <c r="H2" s="185"/>
    </row>
    <row r="3" spans="1:9" x14ac:dyDescent="0.2">
      <c r="A3" s="184"/>
      <c r="F3" s="283" t="s">
        <v>178</v>
      </c>
      <c r="G3" s="283"/>
      <c r="H3" s="283"/>
    </row>
    <row r="4" spans="1:9" x14ac:dyDescent="0.2">
      <c r="A4" s="184"/>
      <c r="F4" s="283"/>
      <c r="G4" s="283"/>
      <c r="H4" s="283"/>
    </row>
    <row r="5" spans="1:9" ht="7.5" customHeight="1" x14ac:dyDescent="0.2">
      <c r="A5" s="184"/>
      <c r="F5" s="283"/>
      <c r="G5" s="283"/>
      <c r="H5" s="283"/>
    </row>
    <row r="6" spans="1:9" ht="15" x14ac:dyDescent="0.25">
      <c r="A6" s="184"/>
      <c r="F6" s="186" t="s">
        <v>179</v>
      </c>
      <c r="H6" s="187"/>
    </row>
    <row r="7" spans="1:9" ht="15" x14ac:dyDescent="0.25">
      <c r="A7" s="184"/>
      <c r="F7" s="186"/>
      <c r="H7" s="187"/>
    </row>
    <row r="8" spans="1:9" x14ac:dyDescent="0.2">
      <c r="A8" s="184"/>
      <c r="F8" s="188" t="s">
        <v>180</v>
      </c>
      <c r="H8" s="187"/>
    </row>
    <row r="9" spans="1:9" s="82" customFormat="1" x14ac:dyDescent="0.2">
      <c r="A9" s="171"/>
      <c r="B9" s="45"/>
      <c r="C9" s="45"/>
      <c r="D9" s="46"/>
      <c r="E9" s="189"/>
      <c r="F9" s="46"/>
      <c r="G9" s="46"/>
      <c r="H9" s="46"/>
      <c r="I9" s="228"/>
    </row>
    <row r="10" spans="1:9" s="82" customFormat="1" x14ac:dyDescent="0.2">
      <c r="A10" s="171"/>
      <c r="B10" s="45"/>
      <c r="C10" s="45"/>
      <c r="D10" s="81"/>
      <c r="E10" s="81"/>
      <c r="F10" s="81"/>
      <c r="G10" s="81"/>
      <c r="H10" s="46"/>
      <c r="I10" s="228"/>
    </row>
    <row r="11" spans="1:9" s="82" customFormat="1" x14ac:dyDescent="0.2">
      <c r="A11" s="171"/>
      <c r="B11" s="45"/>
      <c r="C11" s="45"/>
      <c r="D11" s="81"/>
      <c r="E11" s="81"/>
      <c r="F11" s="81"/>
      <c r="G11" s="46"/>
      <c r="H11" s="46"/>
      <c r="I11" s="228"/>
    </row>
    <row r="12" spans="1:9" s="82" customFormat="1" x14ac:dyDescent="0.2">
      <c r="A12" s="171"/>
      <c r="B12" s="284" t="s">
        <v>181</v>
      </c>
      <c r="C12" s="284"/>
      <c r="D12" s="284"/>
      <c r="E12" s="284"/>
      <c r="F12" s="284"/>
      <c r="G12" s="284"/>
      <c r="H12" s="46"/>
      <c r="I12" s="228"/>
    </row>
    <row r="13" spans="1:9" s="1" customFormat="1" x14ac:dyDescent="0.2">
      <c r="H13" s="2"/>
      <c r="I13" s="9"/>
    </row>
    <row r="14" spans="1:9" s="1" customFormat="1" ht="12.75" customHeight="1" x14ac:dyDescent="0.2">
      <c r="A14" s="281" t="s">
        <v>216</v>
      </c>
      <c r="B14" s="281"/>
      <c r="C14" s="281"/>
      <c r="D14" s="281"/>
      <c r="E14" s="281"/>
      <c r="F14" s="281"/>
      <c r="G14" s="281"/>
      <c r="H14" s="281"/>
      <c r="I14" s="9"/>
    </row>
    <row r="15" spans="1:9" s="1" customFormat="1" x14ac:dyDescent="0.2">
      <c r="A15" s="3"/>
      <c r="B15" s="279" t="s">
        <v>1</v>
      </c>
      <c r="C15" s="279"/>
      <c r="D15" s="279"/>
      <c r="E15" s="279"/>
      <c r="F15" s="279"/>
      <c r="G15" s="279"/>
      <c r="I15" s="9"/>
    </row>
    <row r="16" spans="1:9" s="1" customFormat="1" x14ac:dyDescent="0.2">
      <c r="A16" s="3"/>
      <c r="B16" s="3"/>
      <c r="C16" s="3"/>
      <c r="D16" s="3"/>
      <c r="E16" s="3"/>
      <c r="F16" s="3"/>
      <c r="G16" s="3"/>
      <c r="I16" s="9"/>
    </row>
    <row r="17" spans="1:9" s="1" customFormat="1" ht="12.75" customHeight="1" x14ac:dyDescent="0.2">
      <c r="A17" s="280" t="s">
        <v>175</v>
      </c>
      <c r="B17" s="280"/>
      <c r="C17" s="280"/>
      <c r="D17" s="280"/>
      <c r="E17" s="280"/>
      <c r="F17" s="280"/>
      <c r="G17" s="280"/>
      <c r="H17" s="4" t="s">
        <v>202</v>
      </c>
      <c r="I17" s="229">
        <f>1000</f>
        <v>1000</v>
      </c>
    </row>
    <row r="18" spans="1:9" s="5" customFormat="1" x14ac:dyDescent="0.2">
      <c r="A18" s="278" t="s">
        <v>3</v>
      </c>
      <c r="B18" s="278" t="s">
        <v>4</v>
      </c>
      <c r="C18" s="278" t="s">
        <v>5</v>
      </c>
      <c r="D18" s="278" t="s">
        <v>6</v>
      </c>
      <c r="E18" s="278"/>
      <c r="F18" s="278"/>
      <c r="G18" s="278"/>
      <c r="H18" s="278" t="s">
        <v>7</v>
      </c>
      <c r="I18" s="230"/>
    </row>
    <row r="19" spans="1:9" s="5" customFormat="1" ht="38.25" x14ac:dyDescent="0.2">
      <c r="A19" s="278"/>
      <c r="B19" s="278"/>
      <c r="C19" s="278"/>
      <c r="D19" s="168" t="s">
        <v>8</v>
      </c>
      <c r="E19" s="168" t="s">
        <v>9</v>
      </c>
      <c r="F19" s="168" t="s">
        <v>10</v>
      </c>
      <c r="G19" s="168" t="s">
        <v>11</v>
      </c>
      <c r="H19" s="278"/>
      <c r="I19" s="230"/>
    </row>
    <row r="20" spans="1:9" s="5" customForma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>
        <v>8</v>
      </c>
      <c r="I20" s="230"/>
    </row>
    <row r="21" spans="1:9" x14ac:dyDescent="0.2">
      <c r="A21" s="54"/>
      <c r="B21" s="54"/>
      <c r="C21" s="54"/>
      <c r="D21" s="54"/>
      <c r="E21" s="54"/>
      <c r="F21" s="54"/>
      <c r="G21" s="54"/>
      <c r="H21" s="54"/>
    </row>
    <row r="22" spans="1:9" ht="15.75" customHeight="1" x14ac:dyDescent="0.2">
      <c r="A22" s="55" t="s">
        <v>12</v>
      </c>
      <c r="B22" s="56"/>
      <c r="C22" s="56"/>
      <c r="D22" s="56"/>
      <c r="E22" s="56"/>
      <c r="F22" s="56"/>
      <c r="G22" s="56"/>
      <c r="H22" s="56"/>
      <c r="I22" s="227">
        <f>'ССР 2000 2Э'!H26-H26</f>
        <v>0</v>
      </c>
    </row>
    <row r="23" spans="1:9" s="9" customFormat="1" x14ac:dyDescent="0.2">
      <c r="A23" s="8">
        <v>1</v>
      </c>
      <c r="B23" s="169" t="s">
        <v>203</v>
      </c>
      <c r="C23" s="169" t="s">
        <v>118</v>
      </c>
      <c r="D23" s="224">
        <f>(47813+61635)/$I$17</f>
        <v>109.44799999999999</v>
      </c>
      <c r="E23" s="117"/>
      <c r="F23" s="117"/>
      <c r="G23" s="117"/>
      <c r="H23" s="226">
        <f>SUM(D23:G23)</f>
        <v>109.44799999999999</v>
      </c>
      <c r="I23" s="227">
        <f>'ССР 2000 2Э'!H24-H23</f>
        <v>0</v>
      </c>
    </row>
    <row r="24" spans="1:9" s="9" customFormat="1" hidden="1" outlineLevel="1" x14ac:dyDescent="0.2">
      <c r="A24" s="225">
        <f>A23+1</f>
        <v>2</v>
      </c>
      <c r="B24" s="222"/>
      <c r="C24" s="169"/>
      <c r="D24" s="224"/>
      <c r="E24" s="117"/>
      <c r="F24" s="117"/>
      <c r="G24" s="117"/>
      <c r="H24" s="226">
        <f t="shared" ref="H24:H25" si="0">SUM(D24:G24)</f>
        <v>0</v>
      </c>
      <c r="I24" s="227"/>
    </row>
    <row r="25" spans="1:9" s="9" customFormat="1" ht="25.5" collapsed="1" x14ac:dyDescent="0.2">
      <c r="A25" s="8">
        <f>A23+1</f>
        <v>2</v>
      </c>
      <c r="B25" s="169" t="s">
        <v>106</v>
      </c>
      <c r="C25" s="12" t="s">
        <v>120</v>
      </c>
      <c r="D25" s="224">
        <f>1850/$I$17</f>
        <v>1.85</v>
      </c>
      <c r="E25" s="224">
        <f>36031/$I$17</f>
        <v>36.030999999999999</v>
      </c>
      <c r="F25" s="117"/>
      <c r="G25" s="117"/>
      <c r="H25" s="226">
        <f t="shared" si="0"/>
        <v>37.881</v>
      </c>
      <c r="I25" s="227">
        <f>'ССР 2000 2Э'!H25-H25</f>
        <v>0</v>
      </c>
    </row>
    <row r="26" spans="1:9" s="9" customFormat="1" x14ac:dyDescent="0.2">
      <c r="A26" s="10"/>
      <c r="B26" s="11"/>
      <c r="C26" s="11" t="s">
        <v>78</v>
      </c>
      <c r="D26" s="13">
        <f>SUM(D23:D25)</f>
        <v>111.298</v>
      </c>
      <c r="E26" s="13">
        <f>SUM(E23:E25)</f>
        <v>36.030999999999999</v>
      </c>
      <c r="F26" s="13">
        <f t="shared" ref="F26:G26" si="1">SUM(F23:F25)</f>
        <v>0</v>
      </c>
      <c r="G26" s="13">
        <f t="shared" si="1"/>
        <v>0</v>
      </c>
      <c r="H26" s="13">
        <f>SUM(D26:G26)</f>
        <v>147.32900000000001</v>
      </c>
      <c r="I26" s="14">
        <f>SUM(H23:H25)-H26</f>
        <v>0</v>
      </c>
    </row>
    <row r="27" spans="1:9" s="9" customFormat="1" hidden="1" outlineLevel="1" x14ac:dyDescent="0.2">
      <c r="A27" s="10"/>
      <c r="B27" s="11"/>
      <c r="C27" s="222"/>
      <c r="D27" s="59"/>
      <c r="E27" s="59"/>
      <c r="F27" s="59"/>
      <c r="G27" s="59"/>
      <c r="H27" s="226">
        <f>SUM(D27:G27)</f>
        <v>0</v>
      </c>
    </row>
    <row r="28" spans="1:9" s="9" customFormat="1" hidden="1" outlineLevel="1" x14ac:dyDescent="0.2">
      <c r="A28" s="60"/>
      <c r="B28" s="60"/>
      <c r="C28" s="222"/>
      <c r="D28" s="57"/>
      <c r="E28" s="57"/>
      <c r="F28" s="57"/>
      <c r="G28" s="57"/>
      <c r="H28" s="226">
        <f>SUM(D28:G28)</f>
        <v>0</v>
      </c>
    </row>
    <row r="29" spans="1:9" s="9" customFormat="1" ht="7.5" customHeight="1" collapsed="1" x14ac:dyDescent="0.2">
      <c r="A29" s="245"/>
      <c r="B29" s="246"/>
      <c r="C29" s="246"/>
      <c r="D29" s="247"/>
      <c r="E29" s="247"/>
      <c r="F29" s="247"/>
      <c r="G29" s="247"/>
      <c r="H29" s="248"/>
    </row>
    <row r="30" spans="1:9" ht="15.75" customHeight="1" x14ac:dyDescent="0.2">
      <c r="A30" s="55" t="s">
        <v>14</v>
      </c>
      <c r="B30" s="56"/>
      <c r="C30" s="56"/>
      <c r="D30" s="61"/>
      <c r="E30" s="61"/>
      <c r="F30" s="61"/>
      <c r="G30" s="61"/>
      <c r="H30" s="61"/>
      <c r="I30" s="227">
        <f>'ССР 2000 2Э'!H39-H40-5126966/$I$17</f>
        <v>0.03</v>
      </c>
    </row>
    <row r="31" spans="1:9" s="9" customFormat="1" x14ac:dyDescent="0.2">
      <c r="A31" s="8">
        <f>A25+1</f>
        <v>3</v>
      </c>
      <c r="B31" s="222" t="s">
        <v>127</v>
      </c>
      <c r="C31" s="222" t="s">
        <v>128</v>
      </c>
      <c r="D31" s="224">
        <f>411089/$I$17</f>
        <v>411.089</v>
      </c>
      <c r="E31" s="224">
        <f>1036/$I$17</f>
        <v>1.036</v>
      </c>
      <c r="F31" s="224"/>
      <c r="G31" s="224"/>
      <c r="H31" s="226">
        <f t="shared" ref="H31:H39" si="2">SUM(D31:G31)</f>
        <v>412.125</v>
      </c>
      <c r="I31" s="227">
        <f>'ССР 2000 2Э'!H35-H31</f>
        <v>0</v>
      </c>
    </row>
    <row r="32" spans="1:9" s="9" customFormat="1" x14ac:dyDescent="0.2">
      <c r="A32" s="8">
        <f>A31+1</f>
        <v>4</v>
      </c>
      <c r="B32" s="222" t="s">
        <v>129</v>
      </c>
      <c r="C32" s="222" t="s">
        <v>130</v>
      </c>
      <c r="D32" s="224">
        <f>(10808+7336)/$I$17</f>
        <v>18.143999999999998</v>
      </c>
      <c r="E32" s="224">
        <f>(63481+11425)/$I$17</f>
        <v>74.906000000000006</v>
      </c>
      <c r="F32" s="224">
        <f>8686574/$I$17</f>
        <v>8686.5740000000005</v>
      </c>
      <c r="G32" s="224"/>
      <c r="H32" s="226">
        <f t="shared" si="2"/>
        <v>8779.6239999999998</v>
      </c>
      <c r="I32" s="227">
        <f>'ССР 2000 2Э'!H36-H32-5126966/$I$17</f>
        <v>0.01</v>
      </c>
    </row>
    <row r="33" spans="1:9" s="9" customFormat="1" hidden="1" outlineLevel="1" x14ac:dyDescent="0.2">
      <c r="A33" s="225">
        <f t="shared" ref="A33:A39" si="3">A32+1</f>
        <v>5</v>
      </c>
      <c r="B33" s="222"/>
      <c r="C33" s="222"/>
      <c r="D33" s="224"/>
      <c r="E33" s="224"/>
      <c r="F33" s="224"/>
      <c r="G33" s="224"/>
      <c r="H33" s="226">
        <f t="shared" si="2"/>
        <v>0</v>
      </c>
      <c r="I33" s="227"/>
    </row>
    <row r="34" spans="1:9" s="9" customFormat="1" ht="25.5" collapsed="1" x14ac:dyDescent="0.2">
      <c r="A34" s="8">
        <f>A32+1</f>
        <v>5</v>
      </c>
      <c r="B34" s="222" t="s">
        <v>166</v>
      </c>
      <c r="C34" s="222" t="s">
        <v>204</v>
      </c>
      <c r="D34" s="224"/>
      <c r="E34" s="224">
        <f>(898)/$I$17</f>
        <v>0.89800000000000002</v>
      </c>
      <c r="F34" s="224">
        <f>(47568)/$I$17</f>
        <v>47.567999999999998</v>
      </c>
      <c r="G34" s="224"/>
      <c r="H34" s="226">
        <f t="shared" si="2"/>
        <v>48.466000000000001</v>
      </c>
      <c r="I34" s="227">
        <f>'ССР 2000 2Э'!H37-H34</f>
        <v>0</v>
      </c>
    </row>
    <row r="35" spans="1:9" s="9" customFormat="1" x14ac:dyDescent="0.2">
      <c r="A35" s="8">
        <f t="shared" si="3"/>
        <v>6</v>
      </c>
      <c r="B35" s="222" t="s">
        <v>133</v>
      </c>
      <c r="C35" s="222" t="s">
        <v>134</v>
      </c>
      <c r="D35" s="224">
        <f>(123025+9187)/$I$17</f>
        <v>132.21199999999999</v>
      </c>
      <c r="E35" s="224">
        <f>(5499+255532)/$I$17</f>
        <v>261.03100000000001</v>
      </c>
      <c r="F35" s="224"/>
      <c r="G35" s="224"/>
      <c r="H35" s="226">
        <f t="shared" si="2"/>
        <v>393.24299999999999</v>
      </c>
      <c r="I35" s="227">
        <f>'ССР 2000 2Э'!H38-H35</f>
        <v>0.01</v>
      </c>
    </row>
    <row r="36" spans="1:9" s="9" customFormat="1" hidden="1" outlineLevel="1" x14ac:dyDescent="0.2">
      <c r="A36" s="225">
        <f t="shared" si="3"/>
        <v>7</v>
      </c>
      <c r="B36" s="222"/>
      <c r="C36" s="222"/>
      <c r="D36" s="224"/>
      <c r="E36" s="224"/>
      <c r="F36" s="224"/>
      <c r="G36" s="224"/>
      <c r="H36" s="226">
        <f t="shared" si="2"/>
        <v>0</v>
      </c>
      <c r="I36" s="227"/>
    </row>
    <row r="37" spans="1:9" s="9" customFormat="1" hidden="1" outlineLevel="1" x14ac:dyDescent="0.2">
      <c r="A37" s="225">
        <f t="shared" si="3"/>
        <v>8</v>
      </c>
      <c r="B37" s="222"/>
      <c r="C37" s="222"/>
      <c r="D37" s="224"/>
      <c r="E37" s="224"/>
      <c r="F37" s="224"/>
      <c r="G37" s="224"/>
      <c r="H37" s="226">
        <f t="shared" si="2"/>
        <v>0</v>
      </c>
      <c r="I37" s="227"/>
    </row>
    <row r="38" spans="1:9" s="9" customFormat="1" hidden="1" outlineLevel="1" x14ac:dyDescent="0.2">
      <c r="A38" s="225">
        <f t="shared" si="3"/>
        <v>9</v>
      </c>
      <c r="B38" s="222"/>
      <c r="C38" s="222"/>
      <c r="D38" s="224"/>
      <c r="E38" s="224"/>
      <c r="F38" s="224"/>
      <c r="G38" s="224"/>
      <c r="H38" s="226">
        <f t="shared" si="2"/>
        <v>0</v>
      </c>
      <c r="I38" s="227"/>
    </row>
    <row r="39" spans="1:9" s="9" customFormat="1" hidden="1" outlineLevel="1" x14ac:dyDescent="0.2">
      <c r="A39" s="225">
        <f t="shared" si="3"/>
        <v>10</v>
      </c>
      <c r="B39" s="222"/>
      <c r="C39" s="222"/>
      <c r="D39" s="224"/>
      <c r="E39" s="224"/>
      <c r="F39" s="224"/>
      <c r="G39" s="224"/>
      <c r="H39" s="226">
        <f t="shared" si="2"/>
        <v>0</v>
      </c>
      <c r="I39" s="227"/>
    </row>
    <row r="40" spans="1:9" s="9" customFormat="1" collapsed="1" x14ac:dyDescent="0.2">
      <c r="A40" s="10"/>
      <c r="B40" s="11"/>
      <c r="C40" s="11" t="s">
        <v>79</v>
      </c>
      <c r="D40" s="13">
        <f>SUM(D31:D39)</f>
        <v>561.44500000000005</v>
      </c>
      <c r="E40" s="13">
        <f>SUM(E31:E39)</f>
        <v>337.87099999999998</v>
      </c>
      <c r="F40" s="13">
        <f>SUM(F31:F39)</f>
        <v>8734.1419999999998</v>
      </c>
      <c r="G40" s="13"/>
      <c r="H40" s="13">
        <f>SUM(D40:G40)</f>
        <v>9633.4580000000005</v>
      </c>
      <c r="I40" s="14">
        <f>SUM(H31:H39)-H40</f>
        <v>0</v>
      </c>
    </row>
    <row r="41" spans="1:9" s="9" customFormat="1" hidden="1" outlineLevel="1" x14ac:dyDescent="0.2">
      <c r="A41" s="10"/>
      <c r="B41" s="11"/>
      <c r="C41" s="222">
        <f>$C$27</f>
        <v>0</v>
      </c>
      <c r="D41" s="59"/>
      <c r="E41" s="59"/>
      <c r="F41" s="59"/>
      <c r="G41" s="59"/>
      <c r="H41" s="226">
        <f t="shared" ref="H41:H42" si="4">SUM(D41:G41)</f>
        <v>0</v>
      </c>
    </row>
    <row r="42" spans="1:9" s="9" customFormat="1" hidden="1" outlineLevel="1" x14ac:dyDescent="0.2">
      <c r="A42" s="60"/>
      <c r="B42" s="60"/>
      <c r="C42" s="222">
        <f>$C$28</f>
        <v>0</v>
      </c>
      <c r="D42" s="57"/>
      <c r="E42" s="57"/>
      <c r="F42" s="57"/>
      <c r="G42" s="57"/>
      <c r="H42" s="226">
        <f t="shared" si="4"/>
        <v>0</v>
      </c>
    </row>
    <row r="43" spans="1:9" s="9" customFormat="1" ht="7.5" customHeight="1" collapsed="1" x14ac:dyDescent="0.2">
      <c r="A43" s="245"/>
      <c r="B43" s="246"/>
      <c r="C43" s="246"/>
      <c r="D43" s="247"/>
      <c r="E43" s="247"/>
      <c r="F43" s="247"/>
      <c r="G43" s="247"/>
      <c r="H43" s="248"/>
    </row>
    <row r="44" spans="1:9" ht="15.75" customHeight="1" x14ac:dyDescent="0.2">
      <c r="A44" s="55" t="s">
        <v>15</v>
      </c>
      <c r="B44" s="56"/>
      <c r="C44" s="56"/>
      <c r="D44" s="61"/>
      <c r="E44" s="61"/>
      <c r="F44" s="61"/>
      <c r="G44" s="61"/>
      <c r="H44" s="61"/>
      <c r="I44" s="227">
        <f>'ССР 2000 2Э'!H52-H54</f>
        <v>0</v>
      </c>
    </row>
    <row r="45" spans="1:9" s="9" customFormat="1" x14ac:dyDescent="0.2">
      <c r="A45" s="8">
        <f>A36+1</f>
        <v>8</v>
      </c>
      <c r="B45" s="222" t="s">
        <v>16</v>
      </c>
      <c r="C45" s="222" t="s">
        <v>167</v>
      </c>
      <c r="D45" s="224"/>
      <c r="E45" s="224">
        <f>(468)/$I$17</f>
        <v>0.46800000000000003</v>
      </c>
      <c r="F45" s="224">
        <f>(16091)/$I$17</f>
        <v>16.091000000000001</v>
      </c>
      <c r="G45" s="224"/>
      <c r="H45" s="226">
        <f t="shared" ref="H45:H56" si="5">SUM(D45:G45)</f>
        <v>16.559000000000001</v>
      </c>
      <c r="I45" s="227">
        <f>'ССР 2000 2Э'!H47-H45</f>
        <v>0</v>
      </c>
    </row>
    <row r="46" spans="1:9" s="9" customFormat="1" hidden="1" outlineLevel="1" x14ac:dyDescent="0.2">
      <c r="A46" s="8">
        <f t="shared" ref="A46:A53" si="6">A45+1</f>
        <v>9</v>
      </c>
      <c r="B46" s="222"/>
      <c r="C46" s="222"/>
      <c r="D46" s="224"/>
      <c r="E46" s="224"/>
      <c r="F46" s="224"/>
      <c r="G46" s="224"/>
      <c r="H46" s="226">
        <f t="shared" si="5"/>
        <v>0</v>
      </c>
      <c r="I46" s="227"/>
    </row>
    <row r="47" spans="1:9" s="9" customFormat="1" collapsed="1" x14ac:dyDescent="0.2">
      <c r="A47" s="8">
        <f>A45+1</f>
        <v>9</v>
      </c>
      <c r="B47" s="222" t="s">
        <v>17</v>
      </c>
      <c r="C47" s="222" t="s">
        <v>136</v>
      </c>
      <c r="D47" s="224">
        <f>(529)/$I$17</f>
        <v>0.52900000000000003</v>
      </c>
      <c r="E47" s="224">
        <f>(67173)/$I$17</f>
        <v>67.173000000000002</v>
      </c>
      <c r="F47" s="224">
        <f>(5371)/$I$17</f>
        <v>5.3710000000000004</v>
      </c>
      <c r="G47" s="224"/>
      <c r="H47" s="226">
        <f t="shared" si="5"/>
        <v>73.072999999999993</v>
      </c>
      <c r="I47" s="227">
        <f>'ССР 2000 2Э'!H48-H47</f>
        <v>0</v>
      </c>
    </row>
    <row r="48" spans="1:9" s="9" customFormat="1" ht="25.5" x14ac:dyDescent="0.2">
      <c r="A48" s="8">
        <f t="shared" si="6"/>
        <v>10</v>
      </c>
      <c r="B48" s="222" t="s">
        <v>137</v>
      </c>
      <c r="C48" s="222" t="s">
        <v>138</v>
      </c>
      <c r="D48" s="224">
        <f>(99)/$I$17</f>
        <v>9.9000000000000005E-2</v>
      </c>
      <c r="E48" s="224">
        <f>(3598)/$I$17</f>
        <v>3.5979999999999999</v>
      </c>
      <c r="F48" s="224">
        <f>(27002)/$I$17</f>
        <v>27.001999999999999</v>
      </c>
      <c r="G48" s="224"/>
      <c r="H48" s="226">
        <f t="shared" si="5"/>
        <v>30.699000000000002</v>
      </c>
      <c r="I48" s="227">
        <f>'ССР 2000 2Э'!H49-H48</f>
        <v>0</v>
      </c>
    </row>
    <row r="49" spans="1:9" s="9" customFormat="1" x14ac:dyDescent="0.2">
      <c r="A49" s="8">
        <f t="shared" si="6"/>
        <v>11</v>
      </c>
      <c r="B49" s="222" t="s">
        <v>18</v>
      </c>
      <c r="C49" s="222" t="s">
        <v>139</v>
      </c>
      <c r="D49" s="224"/>
      <c r="E49" s="224">
        <f>(2886)/$I$17</f>
        <v>2.8860000000000001</v>
      </c>
      <c r="F49" s="224">
        <f>(1670687)/$I$17</f>
        <v>1670.6869999999999</v>
      </c>
      <c r="G49" s="224"/>
      <c r="H49" s="226">
        <f t="shared" si="5"/>
        <v>1673.5730000000001</v>
      </c>
      <c r="I49" s="227">
        <f>'ССР 2000 2Э'!H50-H49</f>
        <v>0</v>
      </c>
    </row>
    <row r="50" spans="1:9" s="9" customFormat="1" hidden="1" outlineLevel="1" x14ac:dyDescent="0.2">
      <c r="A50" s="8">
        <f t="shared" si="6"/>
        <v>12</v>
      </c>
      <c r="B50" s="222"/>
      <c r="C50" s="222"/>
      <c r="D50" s="224"/>
      <c r="E50" s="224"/>
      <c r="F50" s="224"/>
      <c r="G50" s="224"/>
      <c r="H50" s="226">
        <f t="shared" si="5"/>
        <v>0</v>
      </c>
      <c r="I50" s="227"/>
    </row>
    <row r="51" spans="1:9" s="9" customFormat="1" ht="25.5" collapsed="1" x14ac:dyDescent="0.2">
      <c r="A51" s="8">
        <f t="shared" si="6"/>
        <v>13</v>
      </c>
      <c r="B51" s="222" t="s">
        <v>19</v>
      </c>
      <c r="C51" s="222" t="s">
        <v>140</v>
      </c>
      <c r="D51" s="224">
        <f>(81667)/$I$17</f>
        <v>81.667000000000002</v>
      </c>
      <c r="E51" s="224"/>
      <c r="F51" s="224"/>
      <c r="G51" s="224"/>
      <c r="H51" s="226">
        <f t="shared" si="5"/>
        <v>81.667000000000002</v>
      </c>
      <c r="I51" s="227">
        <f>'ССР 2000 2Э'!H51-H51</f>
        <v>0</v>
      </c>
    </row>
    <row r="52" spans="1:9" s="9" customFormat="1" hidden="1" outlineLevel="1" x14ac:dyDescent="0.2">
      <c r="A52" s="8">
        <f t="shared" si="6"/>
        <v>14</v>
      </c>
      <c r="B52" s="222"/>
      <c r="C52" s="222"/>
      <c r="D52" s="224"/>
      <c r="E52" s="224"/>
      <c r="F52" s="224"/>
      <c r="G52" s="224"/>
      <c r="H52" s="226">
        <f t="shared" si="5"/>
        <v>0</v>
      </c>
      <c r="I52" s="227"/>
    </row>
    <row r="53" spans="1:9" s="9" customFormat="1" hidden="1" outlineLevel="1" x14ac:dyDescent="0.2">
      <c r="A53" s="8">
        <f t="shared" si="6"/>
        <v>15</v>
      </c>
      <c r="B53" s="223"/>
      <c r="C53" s="223"/>
      <c r="D53" s="224"/>
      <c r="E53" s="224"/>
      <c r="F53" s="224"/>
      <c r="G53" s="224"/>
      <c r="H53" s="226">
        <f t="shared" ref="H53" si="7">SUM(D53:G53)</f>
        <v>0</v>
      </c>
      <c r="I53" s="227"/>
    </row>
    <row r="54" spans="1:9" s="9" customFormat="1" collapsed="1" x14ac:dyDescent="0.2">
      <c r="A54" s="10"/>
      <c r="B54" s="11"/>
      <c r="C54" s="11" t="s">
        <v>80</v>
      </c>
      <c r="D54" s="13">
        <f>SUM(D45:D52)</f>
        <v>82.295000000000002</v>
      </c>
      <c r="E54" s="13">
        <f>SUM(E45:E52)</f>
        <v>74.125</v>
      </c>
      <c r="F54" s="13">
        <f>SUM(F45:F52)</f>
        <v>1719.1510000000001</v>
      </c>
      <c r="G54" s="13"/>
      <c r="H54" s="13">
        <f t="shared" si="5"/>
        <v>1875.5709999999999</v>
      </c>
      <c r="I54" s="14">
        <f>SUM(H45:H52)-H54</f>
        <v>0</v>
      </c>
    </row>
    <row r="55" spans="1:9" s="9" customFormat="1" hidden="1" outlineLevel="1" x14ac:dyDescent="0.2">
      <c r="A55" s="60"/>
      <c r="B55" s="60"/>
      <c r="C55" s="222">
        <f>$C$27</f>
        <v>0</v>
      </c>
      <c r="D55" s="59"/>
      <c r="E55" s="59"/>
      <c r="F55" s="59"/>
      <c r="G55" s="59"/>
      <c r="H55" s="226">
        <f t="shared" si="5"/>
        <v>0</v>
      </c>
    </row>
    <row r="56" spans="1:9" s="9" customFormat="1" hidden="1" outlineLevel="1" x14ac:dyDescent="0.2">
      <c r="A56" s="60"/>
      <c r="B56" s="60"/>
      <c r="C56" s="222">
        <f>$C$28</f>
        <v>0</v>
      </c>
      <c r="D56" s="57"/>
      <c r="E56" s="57"/>
      <c r="F56" s="57"/>
      <c r="G56" s="57"/>
      <c r="H56" s="226">
        <f t="shared" si="5"/>
        <v>0</v>
      </c>
    </row>
    <row r="57" spans="1:9" s="9" customFormat="1" ht="7.5" customHeight="1" collapsed="1" x14ac:dyDescent="0.2">
      <c r="A57" s="245"/>
      <c r="B57" s="246"/>
      <c r="C57" s="246"/>
      <c r="D57" s="247"/>
      <c r="E57" s="247"/>
      <c r="F57" s="247"/>
      <c r="G57" s="247"/>
      <c r="H57" s="248"/>
    </row>
    <row r="58" spans="1:9" s="9" customFormat="1" ht="12.75" customHeight="1" x14ac:dyDescent="0.2">
      <c r="A58" s="55" t="s">
        <v>20</v>
      </c>
      <c r="B58" s="56"/>
      <c r="C58" s="56"/>
      <c r="D58" s="61"/>
      <c r="E58" s="61"/>
      <c r="F58" s="61"/>
      <c r="G58" s="61"/>
      <c r="H58" s="61"/>
      <c r="I58" s="227">
        <f>'ССР 2000 2Э'!H63-H61</f>
        <v>0</v>
      </c>
    </row>
    <row r="59" spans="1:9" s="9" customFormat="1" x14ac:dyDescent="0.2">
      <c r="A59" s="8">
        <f>A50+1</f>
        <v>13</v>
      </c>
      <c r="B59" s="222" t="s">
        <v>141</v>
      </c>
      <c r="C59" s="222" t="s">
        <v>142</v>
      </c>
      <c r="D59" s="224">
        <f>(2470)/$I$17</f>
        <v>2.4700000000000002</v>
      </c>
      <c r="E59" s="224">
        <f>(117667)/$I$17</f>
        <v>117.667</v>
      </c>
      <c r="F59" s="224"/>
      <c r="G59" s="224"/>
      <c r="H59" s="226">
        <f>SUM(D59:G59)</f>
        <v>120.137</v>
      </c>
      <c r="I59" s="227">
        <f>'ССР 2000 2Э'!H59-H59</f>
        <v>0</v>
      </c>
    </row>
    <row r="60" spans="1:9" s="9" customFormat="1" x14ac:dyDescent="0.2">
      <c r="A60" s="8">
        <f>A59+1</f>
        <v>14</v>
      </c>
      <c r="B60" s="222" t="s">
        <v>21</v>
      </c>
      <c r="C60" s="222" t="s">
        <v>143</v>
      </c>
      <c r="D60" s="224">
        <f>(46313)/$I$17</f>
        <v>46.313000000000002</v>
      </c>
      <c r="E60" s="224"/>
      <c r="F60" s="224"/>
      <c r="G60" s="224"/>
      <c r="H60" s="226">
        <f>SUM(D60:G60)</f>
        <v>46.313000000000002</v>
      </c>
      <c r="I60" s="227">
        <f>'ССР 2000 2Э'!H60-H60</f>
        <v>0</v>
      </c>
    </row>
    <row r="61" spans="1:9" s="9" customFormat="1" x14ac:dyDescent="0.2">
      <c r="A61" s="10"/>
      <c r="B61" s="11"/>
      <c r="C61" s="11" t="s">
        <v>205</v>
      </c>
      <c r="D61" s="13">
        <f>SUM(D59:D60)</f>
        <v>48.783000000000001</v>
      </c>
      <c r="E61" s="13">
        <f>SUM(E59:E60)</f>
        <v>117.667</v>
      </c>
      <c r="F61" s="13"/>
      <c r="G61" s="13"/>
      <c r="H61" s="13">
        <f>SUM(D61:G61)</f>
        <v>166.45</v>
      </c>
      <c r="I61" s="14">
        <f>SUM(H59:H60)-H61</f>
        <v>0</v>
      </c>
    </row>
    <row r="62" spans="1:9" s="9" customFormat="1" hidden="1" outlineLevel="1" x14ac:dyDescent="0.2">
      <c r="A62" s="60"/>
      <c r="B62" s="60"/>
      <c r="C62" s="222">
        <f>$C$27</f>
        <v>0</v>
      </c>
      <c r="D62" s="59"/>
      <c r="E62" s="59"/>
      <c r="F62" s="59"/>
      <c r="G62" s="59"/>
      <c r="H62" s="226">
        <f t="shared" ref="H62:H63" si="8">SUM(D62:G62)</f>
        <v>0</v>
      </c>
    </row>
    <row r="63" spans="1:9" s="9" customFormat="1" hidden="1" outlineLevel="1" x14ac:dyDescent="0.2">
      <c r="A63" s="60"/>
      <c r="B63" s="60"/>
      <c r="C63" s="222">
        <f>$C$28</f>
        <v>0</v>
      </c>
      <c r="D63" s="57"/>
      <c r="E63" s="57"/>
      <c r="F63" s="57"/>
      <c r="G63" s="57"/>
      <c r="H63" s="226">
        <f t="shared" si="8"/>
        <v>0</v>
      </c>
    </row>
    <row r="64" spans="1:9" s="9" customFormat="1" ht="13.5" collapsed="1" x14ac:dyDescent="0.2">
      <c r="A64" s="10"/>
      <c r="B64" s="11"/>
      <c r="C64" s="232" t="s">
        <v>22</v>
      </c>
      <c r="D64" s="233">
        <f>D26+D40+D54+D61</f>
        <v>803.82100000000003</v>
      </c>
      <c r="E64" s="233">
        <f>E26+E40+E54+E61</f>
        <v>565.69399999999996</v>
      </c>
      <c r="F64" s="233">
        <f>F26+F40+F54+F61</f>
        <v>10453.293</v>
      </c>
      <c r="G64" s="233"/>
      <c r="H64" s="233">
        <f>SUM(D64:G64)</f>
        <v>11822.808000000001</v>
      </c>
      <c r="I64" s="14">
        <f>SUM(H26,H40,H54,H61)-H64</f>
        <v>0</v>
      </c>
    </row>
    <row r="65" spans="1:11" s="9" customFormat="1" ht="13.5" hidden="1" outlineLevel="1" x14ac:dyDescent="0.2">
      <c r="A65" s="60"/>
      <c r="B65" s="60"/>
      <c r="C65" s="234">
        <f>$C$27</f>
        <v>0</v>
      </c>
      <c r="D65" s="235"/>
      <c r="E65" s="235"/>
      <c r="F65" s="235"/>
      <c r="G65" s="235"/>
      <c r="H65" s="236">
        <f t="shared" ref="H65:H66" si="9">SUM(D65:G65)</f>
        <v>0</v>
      </c>
    </row>
    <row r="66" spans="1:11" s="9" customFormat="1" hidden="1" outlineLevel="1" x14ac:dyDescent="0.2">
      <c r="A66" s="60"/>
      <c r="B66" s="60"/>
      <c r="C66" s="234">
        <f>$C$28</f>
        <v>0</v>
      </c>
      <c r="D66" s="237"/>
      <c r="E66" s="237"/>
      <c r="F66" s="237"/>
      <c r="G66" s="237"/>
      <c r="H66" s="236">
        <f t="shared" si="9"/>
        <v>0</v>
      </c>
    </row>
    <row r="67" spans="1:11" s="9" customFormat="1" ht="7.5" customHeight="1" collapsed="1" x14ac:dyDescent="0.2">
      <c r="A67" s="245"/>
      <c r="B67" s="246"/>
      <c r="C67" s="246"/>
      <c r="D67" s="247"/>
      <c r="E67" s="247"/>
      <c r="F67" s="247"/>
      <c r="G67" s="247"/>
      <c r="H67" s="248"/>
    </row>
    <row r="68" spans="1:11" s="9" customFormat="1" ht="12.75" customHeight="1" x14ac:dyDescent="0.2">
      <c r="A68" s="55" t="s">
        <v>23</v>
      </c>
      <c r="B68" s="56"/>
      <c r="C68" s="56"/>
      <c r="D68" s="61"/>
      <c r="E68" s="61"/>
      <c r="F68" s="61"/>
      <c r="G68" s="61"/>
      <c r="H68" s="61"/>
    </row>
    <row r="69" spans="1:11" s="9" customFormat="1" ht="38.25" x14ac:dyDescent="0.2">
      <c r="A69" s="8">
        <f>A59+1</f>
        <v>14</v>
      </c>
      <c r="B69" s="222" t="s">
        <v>206</v>
      </c>
      <c r="C69" s="222" t="s">
        <v>25</v>
      </c>
      <c r="D69" s="224">
        <f>D64*3.12%</f>
        <v>25.079000000000001</v>
      </c>
      <c r="E69" s="224">
        <f>E64*3.12%</f>
        <v>17.649999999999999</v>
      </c>
      <c r="F69" s="224"/>
      <c r="G69" s="224"/>
      <c r="H69" s="226">
        <f>SUM(D69:G69)</f>
        <v>42.728999999999999</v>
      </c>
      <c r="I69" s="62">
        <f>'ССР 2000 2Э'!H77-H69</f>
        <v>-0.02</v>
      </c>
      <c r="J69" s="62"/>
      <c r="K69" s="62"/>
    </row>
    <row r="70" spans="1:11" s="9" customFormat="1" x14ac:dyDescent="0.2">
      <c r="A70" s="10"/>
      <c r="B70" s="11"/>
      <c r="C70" s="11" t="s">
        <v>81</v>
      </c>
      <c r="D70" s="13">
        <f>SUM(D69)</f>
        <v>25.079000000000001</v>
      </c>
      <c r="E70" s="13">
        <f>SUM(E69)</f>
        <v>17.649999999999999</v>
      </c>
      <c r="F70" s="13"/>
      <c r="G70" s="13"/>
      <c r="H70" s="13">
        <f>SUM(D70:G70)</f>
        <v>42.728999999999999</v>
      </c>
      <c r="I70" s="14">
        <f>SUM(H69:H69)-H70</f>
        <v>0</v>
      </c>
    </row>
    <row r="71" spans="1:11" s="9" customFormat="1" hidden="1" outlineLevel="1" x14ac:dyDescent="0.2">
      <c r="A71" s="60"/>
      <c r="B71" s="60"/>
      <c r="C71" s="222">
        <f>$C$27</f>
        <v>0</v>
      </c>
      <c r="D71" s="59"/>
      <c r="E71" s="59"/>
      <c r="F71" s="59"/>
      <c r="G71" s="59"/>
      <c r="H71" s="226">
        <f t="shared" ref="H71:H72" si="10">SUM(D71:G71)</f>
        <v>0</v>
      </c>
    </row>
    <row r="72" spans="1:11" s="9" customFormat="1" hidden="1" outlineLevel="1" x14ac:dyDescent="0.2">
      <c r="A72" s="60"/>
      <c r="B72" s="60"/>
      <c r="C72" s="222">
        <f>$C$28</f>
        <v>0</v>
      </c>
      <c r="D72" s="57"/>
      <c r="E72" s="57"/>
      <c r="F72" s="57"/>
      <c r="G72" s="57"/>
      <c r="H72" s="226">
        <f t="shared" si="10"/>
        <v>0</v>
      </c>
    </row>
    <row r="73" spans="1:11" ht="15.75" customHeight="1" collapsed="1" x14ac:dyDescent="0.2">
      <c r="A73" s="10"/>
      <c r="B73" s="11"/>
      <c r="C73" s="232" t="s">
        <v>26</v>
      </c>
      <c r="D73" s="233">
        <f>SUM(D64,D70)</f>
        <v>828.9</v>
      </c>
      <c r="E73" s="233">
        <f>SUM(E64,E70)</f>
        <v>583.34400000000005</v>
      </c>
      <c r="F73" s="233">
        <f t="shared" ref="F73:G73" si="11">SUM(F64,F70)</f>
        <v>10453.293</v>
      </c>
      <c r="G73" s="233">
        <f t="shared" si="11"/>
        <v>0</v>
      </c>
      <c r="H73" s="233">
        <f>SUM(D73:G73)</f>
        <v>11865.537</v>
      </c>
      <c r="I73" s="14">
        <f>SUM(H26,H40,H54,H61,H70)-H73</f>
        <v>0</v>
      </c>
    </row>
    <row r="74" spans="1:11" s="9" customFormat="1" ht="13.5" hidden="1" outlineLevel="1" x14ac:dyDescent="0.2">
      <c r="A74" s="60"/>
      <c r="B74" s="60"/>
      <c r="C74" s="234">
        <f>$C$27</f>
        <v>0</v>
      </c>
      <c r="D74" s="235"/>
      <c r="E74" s="235"/>
      <c r="F74" s="235"/>
      <c r="G74" s="235"/>
      <c r="H74" s="236">
        <f t="shared" ref="H74:H75" si="12">SUM(D74:G74)</f>
        <v>0</v>
      </c>
    </row>
    <row r="75" spans="1:11" s="9" customFormat="1" hidden="1" outlineLevel="1" x14ac:dyDescent="0.2">
      <c r="A75" s="60"/>
      <c r="B75" s="60"/>
      <c r="C75" s="234">
        <f>$C$28</f>
        <v>0</v>
      </c>
      <c r="D75" s="237"/>
      <c r="E75" s="237"/>
      <c r="F75" s="237"/>
      <c r="G75" s="237"/>
      <c r="H75" s="236">
        <f t="shared" si="12"/>
        <v>0</v>
      </c>
    </row>
    <row r="76" spans="1:11" s="9" customFormat="1" ht="7.5" customHeight="1" collapsed="1" x14ac:dyDescent="0.2">
      <c r="A76" s="245"/>
      <c r="B76" s="246"/>
      <c r="C76" s="246"/>
      <c r="D76" s="247"/>
      <c r="E76" s="247"/>
      <c r="F76" s="247"/>
      <c r="G76" s="247"/>
      <c r="H76" s="248"/>
    </row>
    <row r="77" spans="1:11" s="9" customFormat="1" ht="12.75" customHeight="1" x14ac:dyDescent="0.2">
      <c r="A77" s="55" t="s">
        <v>27</v>
      </c>
      <c r="B77" s="56"/>
      <c r="C77" s="56"/>
      <c r="D77" s="61"/>
      <c r="E77" s="61"/>
      <c r="F77" s="61"/>
      <c r="G77" s="61"/>
      <c r="H77" s="61"/>
      <c r="I77" s="63">
        <f>'ССР 2000 2Э'!H98-'ССР 2000 2Э'!G97-H84</f>
        <v>0.12</v>
      </c>
    </row>
    <row r="78" spans="1:11" s="9" customFormat="1" ht="51" x14ac:dyDescent="0.2">
      <c r="A78" s="8">
        <f>A69+1</f>
        <v>15</v>
      </c>
      <c r="B78" s="222" t="s">
        <v>208</v>
      </c>
      <c r="C78" s="222" t="s">
        <v>209</v>
      </c>
      <c r="D78" s="224">
        <f>D73*4.73%</f>
        <v>39.207000000000001</v>
      </c>
      <c r="E78" s="224">
        <f>E73*4.73%</f>
        <v>27.591999999999999</v>
      </c>
      <c r="F78" s="224"/>
      <c r="G78" s="224"/>
      <c r="H78" s="226">
        <f t="shared" ref="H78:H84" si="13">SUM(D78:G78)</f>
        <v>66.799000000000007</v>
      </c>
      <c r="I78" s="63">
        <f>'ССР 2000 2Э'!H92-H78</f>
        <v>0.04</v>
      </c>
    </row>
    <row r="79" spans="1:11" s="9" customFormat="1" ht="25.5" x14ac:dyDescent="0.2">
      <c r="A79" s="8">
        <f>A78+1</f>
        <v>16</v>
      </c>
      <c r="B79" s="222" t="s">
        <v>207</v>
      </c>
      <c r="C79" s="222" t="s">
        <v>30</v>
      </c>
      <c r="D79" s="224">
        <f>D73*0.4%</f>
        <v>3.3159999999999998</v>
      </c>
      <c r="E79" s="224">
        <f>E73*0.4%</f>
        <v>2.3330000000000002</v>
      </c>
      <c r="F79" s="224"/>
      <c r="G79" s="224"/>
      <c r="H79" s="226">
        <f t="shared" si="13"/>
        <v>5.649</v>
      </c>
      <c r="I79" s="63">
        <f>'ССР 2000 2Э'!H93-H79</f>
        <v>0.03</v>
      </c>
    </row>
    <row r="80" spans="1:11" s="9" customFormat="1" hidden="1" outlineLevel="1" x14ac:dyDescent="0.2">
      <c r="A80" s="8">
        <f>A79+1</f>
        <v>17</v>
      </c>
      <c r="B80" s="222" t="e">
        <f>#REF!</f>
        <v>#REF!</v>
      </c>
      <c r="C80" s="222" t="e">
        <f>#REF!</f>
        <v>#REF!</v>
      </c>
      <c r="D80" s="224"/>
      <c r="E80" s="224"/>
      <c r="F80" s="224"/>
      <c r="G80" s="224"/>
      <c r="H80" s="226">
        <f t="shared" si="13"/>
        <v>0</v>
      </c>
    </row>
    <row r="81" spans="1:16" s="9" customFormat="1" collapsed="1" x14ac:dyDescent="0.2">
      <c r="A81" s="8">
        <f>A79+1</f>
        <v>17</v>
      </c>
      <c r="B81" s="222" t="s">
        <v>31</v>
      </c>
      <c r="C81" s="222" t="s">
        <v>168</v>
      </c>
      <c r="D81" s="224"/>
      <c r="E81" s="224"/>
      <c r="F81" s="224"/>
      <c r="G81" s="224">
        <f>(155156)/$I$17</f>
        <v>155.15600000000001</v>
      </c>
      <c r="H81" s="226">
        <f t="shared" si="13"/>
        <v>155.15600000000001</v>
      </c>
      <c r="I81" s="63">
        <f>'ССР 2000 2Э'!H94-H81</f>
        <v>0.03</v>
      </c>
    </row>
    <row r="82" spans="1:16" s="9" customFormat="1" x14ac:dyDescent="0.2">
      <c r="A82" s="8">
        <f>A81+1</f>
        <v>18</v>
      </c>
      <c r="B82" s="169" t="s">
        <v>200</v>
      </c>
      <c r="C82" s="174" t="s">
        <v>149</v>
      </c>
      <c r="D82" s="116"/>
      <c r="E82" s="117"/>
      <c r="F82" s="117"/>
      <c r="G82" s="224">
        <f>(975)/$I$17</f>
        <v>0.97499999999999998</v>
      </c>
      <c r="H82" s="226">
        <f t="shared" si="13"/>
        <v>0.97499999999999998</v>
      </c>
      <c r="I82" s="63">
        <f>'ССР 2000 2Э'!G95-H82</f>
        <v>0.01</v>
      </c>
    </row>
    <row r="83" spans="1:16" s="9" customFormat="1" x14ac:dyDescent="0.2">
      <c r="A83" s="8">
        <f>A82+1</f>
        <v>19</v>
      </c>
      <c r="B83" s="169" t="s">
        <v>201</v>
      </c>
      <c r="C83" s="169" t="s">
        <v>151</v>
      </c>
      <c r="D83" s="57"/>
      <c r="E83" s="58"/>
      <c r="F83" s="58"/>
      <c r="G83" s="224">
        <f>(975)/$I$17</f>
        <v>0.97499999999999998</v>
      </c>
      <c r="H83" s="226">
        <f t="shared" si="13"/>
        <v>0.97499999999999998</v>
      </c>
      <c r="I83" s="63">
        <f>'ССР 2000 2Э'!G96-H83</f>
        <v>0.01</v>
      </c>
    </row>
    <row r="84" spans="1:16" s="9" customFormat="1" x14ac:dyDescent="0.2">
      <c r="A84" s="10"/>
      <c r="B84" s="11"/>
      <c r="C84" s="11" t="s">
        <v>82</v>
      </c>
      <c r="D84" s="13">
        <f>SUM(D78:D83)</f>
        <v>42.523000000000003</v>
      </c>
      <c r="E84" s="13">
        <f>SUM(E78:E83)</f>
        <v>29.925000000000001</v>
      </c>
      <c r="F84" s="13"/>
      <c r="G84" s="13">
        <f>SUM(G78:G83)</f>
        <v>157.10599999999999</v>
      </c>
      <c r="H84" s="13">
        <f t="shared" si="13"/>
        <v>229.554</v>
      </c>
      <c r="I84" s="14">
        <f>SUM(H78:H83)-H84</f>
        <v>0</v>
      </c>
    </row>
    <row r="85" spans="1:16" s="9" customFormat="1" hidden="1" outlineLevel="1" x14ac:dyDescent="0.2">
      <c r="A85" s="60"/>
      <c r="B85" s="60"/>
      <c r="C85" s="222">
        <f>$C$27</f>
        <v>0</v>
      </c>
      <c r="D85" s="59"/>
      <c r="E85" s="59"/>
      <c r="F85" s="59"/>
      <c r="G85" s="59"/>
      <c r="H85" s="226">
        <f t="shared" ref="H85:H86" si="14">SUM(D85:G85)</f>
        <v>0</v>
      </c>
    </row>
    <row r="86" spans="1:16" s="9" customFormat="1" hidden="1" outlineLevel="1" x14ac:dyDescent="0.2">
      <c r="A86" s="60"/>
      <c r="B86" s="60"/>
      <c r="C86" s="222">
        <f>$C$28</f>
        <v>0</v>
      </c>
      <c r="D86" s="57"/>
      <c r="E86" s="57"/>
      <c r="F86" s="57"/>
      <c r="G86" s="57"/>
      <c r="H86" s="226">
        <f t="shared" si="14"/>
        <v>0</v>
      </c>
    </row>
    <row r="87" spans="1:16" s="9" customFormat="1" ht="13.5" collapsed="1" x14ac:dyDescent="0.2">
      <c r="A87" s="10"/>
      <c r="B87" s="11"/>
      <c r="C87" s="232" t="s">
        <v>34</v>
      </c>
      <c r="D87" s="233">
        <f>SUM(D73,D84)</f>
        <v>871.423</v>
      </c>
      <c r="E87" s="233">
        <f t="shared" ref="E87:G87" si="15">SUM(E73,E84)</f>
        <v>613.26900000000001</v>
      </c>
      <c r="F87" s="233">
        <f t="shared" si="15"/>
        <v>10453.293</v>
      </c>
      <c r="G87" s="233">
        <f t="shared" si="15"/>
        <v>157.10599999999999</v>
      </c>
      <c r="H87" s="233">
        <f>SUM(D87:G87)</f>
        <v>12095.091</v>
      </c>
      <c r="I87" s="14">
        <f>H73+H84-H87</f>
        <v>0</v>
      </c>
      <c r="J87" s="258">
        <f>'ССР 2000 2Э'!H104-H87-5126.966-'ССР 2000 2Э'!G97</f>
        <v>0.123</v>
      </c>
    </row>
    <row r="88" spans="1:16" s="9" customFormat="1" ht="13.5" hidden="1" outlineLevel="1" x14ac:dyDescent="0.2">
      <c r="A88" s="60"/>
      <c r="B88" s="60"/>
      <c r="C88" s="234">
        <f>$C$27</f>
        <v>0</v>
      </c>
      <c r="D88" s="235"/>
      <c r="E88" s="235"/>
      <c r="F88" s="235"/>
      <c r="G88" s="235"/>
      <c r="H88" s="236">
        <f t="shared" ref="H88:H89" si="16">SUM(D88:G88)</f>
        <v>0</v>
      </c>
    </row>
    <row r="89" spans="1:16" s="9" customFormat="1" hidden="1" outlineLevel="1" x14ac:dyDescent="0.2">
      <c r="A89" s="60"/>
      <c r="B89" s="60"/>
      <c r="C89" s="234">
        <f>$C$28</f>
        <v>0</v>
      </c>
      <c r="D89" s="237"/>
      <c r="E89" s="237"/>
      <c r="F89" s="237"/>
      <c r="G89" s="237"/>
      <c r="H89" s="236">
        <f t="shared" si="16"/>
        <v>0</v>
      </c>
    </row>
    <row r="90" spans="1:16" s="9" customFormat="1" ht="7.5" customHeight="1" collapsed="1" x14ac:dyDescent="0.2">
      <c r="A90" s="245"/>
      <c r="B90" s="246"/>
      <c r="C90" s="246"/>
      <c r="D90" s="247"/>
      <c r="E90" s="247"/>
      <c r="F90" s="247"/>
      <c r="G90" s="247"/>
      <c r="H90" s="248"/>
    </row>
    <row r="91" spans="1:16" s="9" customFormat="1" ht="25.5" x14ac:dyDescent="0.2">
      <c r="A91" s="8">
        <f>A81+1</f>
        <v>18</v>
      </c>
      <c r="B91" s="222" t="s">
        <v>40</v>
      </c>
      <c r="C91" s="222" t="s">
        <v>170</v>
      </c>
      <c r="D91" s="224">
        <f>D87*1.5%</f>
        <v>13.071</v>
      </c>
      <c r="E91" s="224">
        <f>E87*1.5%</f>
        <v>9.1989999999999998</v>
      </c>
      <c r="F91" s="224">
        <f>F87*1.5%</f>
        <v>156.79900000000001</v>
      </c>
      <c r="G91" s="224">
        <f>G87*1.5%-0.001</f>
        <v>2.3559999999999999</v>
      </c>
      <c r="H91" s="226">
        <f>SUM(D91:G91)</f>
        <v>181.42500000000001</v>
      </c>
      <c r="I91" s="238">
        <f>H87*1.5%-H91</f>
        <v>1E-3</v>
      </c>
    </row>
    <row r="92" spans="1:16" s="9" customFormat="1" ht="27" x14ac:dyDescent="0.2">
      <c r="A92" s="10"/>
      <c r="B92" s="11"/>
      <c r="C92" s="232" t="s">
        <v>182</v>
      </c>
      <c r="D92" s="233">
        <f>SUM(D87,D91)</f>
        <v>884.49400000000003</v>
      </c>
      <c r="E92" s="233">
        <f t="shared" ref="E92:G92" si="17">SUM(E87,E91)</f>
        <v>622.46799999999996</v>
      </c>
      <c r="F92" s="233">
        <f t="shared" si="17"/>
        <v>10610.092000000001</v>
      </c>
      <c r="G92" s="233">
        <f t="shared" si="17"/>
        <v>159.46199999999999</v>
      </c>
      <c r="H92" s="233">
        <f>SUM(D92:G92)</f>
        <v>12276.516</v>
      </c>
      <c r="I92" s="14">
        <f>SUM(H87,H91)-H92</f>
        <v>0</v>
      </c>
      <c r="J92" s="14">
        <f>G81*1.015</f>
        <v>157.483</v>
      </c>
      <c r="K92" s="14">
        <f>SUM(G82:G83)*1.015</f>
        <v>1.9790000000000001</v>
      </c>
      <c r="L92" s="14">
        <f>SUM(J92:K92)-G92</f>
        <v>0</v>
      </c>
    </row>
    <row r="93" spans="1:16" s="9" customFormat="1" ht="7.5" customHeight="1" x14ac:dyDescent="0.2">
      <c r="A93" s="245"/>
      <c r="B93" s="246"/>
      <c r="C93" s="246"/>
      <c r="D93" s="247"/>
      <c r="E93" s="247"/>
      <c r="F93" s="247"/>
      <c r="G93" s="247"/>
      <c r="H93" s="248"/>
      <c r="J93" s="14"/>
      <c r="K93" s="14"/>
      <c r="L93" s="14"/>
    </row>
    <row r="94" spans="1:16" s="9" customFormat="1" ht="76.5" x14ac:dyDescent="0.2">
      <c r="A94" s="8"/>
      <c r="B94" s="222" t="s">
        <v>187</v>
      </c>
      <c r="C94" s="222" t="s">
        <v>186</v>
      </c>
      <c r="D94" s="224">
        <f>D92*7.1</f>
        <v>6279.9070000000002</v>
      </c>
      <c r="E94" s="224">
        <f>E92*7.1</f>
        <v>4419.5230000000001</v>
      </c>
      <c r="F94" s="224">
        <f>F92*3.82</f>
        <v>40530.550999999999</v>
      </c>
      <c r="G94" s="224">
        <f>SUM(G81)*(100%+1.5%)*15.97+(G92-SUM(G81)*(100%+1.5%))*7.53-0.002</f>
        <v>2529.9059999999999</v>
      </c>
      <c r="H94" s="226">
        <f t="shared" ref="H94:H102" si="18">SUM(D94:G94)</f>
        <v>53759.887000000002</v>
      </c>
      <c r="J94" s="14">
        <f>J92*15.97</f>
        <v>2515.0039999999999</v>
      </c>
      <c r="K94" s="14">
        <f>K92*7.53</f>
        <v>14.901999999999999</v>
      </c>
      <c r="L94" s="14">
        <f>SUM(J94:K94)-G94</f>
        <v>0</v>
      </c>
    </row>
    <row r="95" spans="1:16" s="9" customFormat="1" ht="36" x14ac:dyDescent="0.2">
      <c r="A95" s="66"/>
      <c r="B95" s="67" t="s">
        <v>84</v>
      </c>
      <c r="C95" s="75" t="s">
        <v>85</v>
      </c>
      <c r="D95" s="239">
        <f>D94*$M95</f>
        <v>6656.701</v>
      </c>
      <c r="E95" s="239">
        <f t="shared" ref="E95:G95" si="19">E94*$M95</f>
        <v>4684.6940000000004</v>
      </c>
      <c r="F95" s="260">
        <f>F94*$M95+0.001</f>
        <v>42962.385000000002</v>
      </c>
      <c r="G95" s="239">
        <f t="shared" si="19"/>
        <v>2681.7</v>
      </c>
      <c r="H95" s="240">
        <f t="shared" si="18"/>
        <v>56985.48</v>
      </c>
      <c r="I95" s="261">
        <f>H94*M95-H95</f>
        <v>0</v>
      </c>
      <c r="K95" s="192">
        <f>HLOOKUP($P95,'-30% (без оборуд.)'!$J$11:$U$15,5,0)</f>
        <v>1.0549999999999999</v>
      </c>
      <c r="L95" s="192">
        <f>HLOOKUP($P95,'-30% (без оборуд.)'!$J$11:$U$15,3,0)</f>
        <v>1.0589999999999999</v>
      </c>
      <c r="M95" s="192">
        <f>HLOOKUP($P95,'-30% (без оборуд.)'!$J$11:$U$15,2,0)</f>
        <v>1.06</v>
      </c>
      <c r="N95" s="192">
        <f>HLOOKUP($P95,'-30% (без оборуд.)'!$J$11:$U$15,4,0)</f>
        <v>1.06</v>
      </c>
      <c r="O95" s="192"/>
      <c r="P95" s="9" t="s">
        <v>190</v>
      </c>
    </row>
    <row r="96" spans="1:16" s="9" customFormat="1" ht="36" x14ac:dyDescent="0.2">
      <c r="A96" s="66"/>
      <c r="B96" s="67" t="s">
        <v>84</v>
      </c>
      <c r="C96" s="75" t="s">
        <v>86</v>
      </c>
      <c r="D96" s="239">
        <f t="shared" ref="D96:D101" si="20">D95*$M96</f>
        <v>6982.8789999999999</v>
      </c>
      <c r="E96" s="239">
        <f t="shared" ref="E96:E101" si="21">E95*$M96</f>
        <v>4914.2439999999997</v>
      </c>
      <c r="F96" s="239">
        <f t="shared" ref="F96:F101" si="22">F95*$M96</f>
        <v>45067.542000000001</v>
      </c>
      <c r="G96" s="239">
        <f t="shared" ref="G96:G101" si="23">G95*$M96</f>
        <v>2813.1030000000001</v>
      </c>
      <c r="H96" s="240">
        <f t="shared" si="18"/>
        <v>59777.767999999996</v>
      </c>
      <c r="I96" s="261">
        <f t="shared" ref="I96:I101" si="24">H95*M96-H96</f>
        <v>1E-3</v>
      </c>
      <c r="K96" s="192">
        <f>HLOOKUP($P96,'-30% (без оборуд.)'!$J$11:$U$15,5,0)</f>
        <v>1.046</v>
      </c>
      <c r="L96" s="192">
        <f>HLOOKUP($P96,'-30% (без оборуд.)'!$J$11:$U$15,3,0)</f>
        <v>1.0580000000000001</v>
      </c>
      <c r="M96" s="192">
        <f>HLOOKUP($P96,'-30% (без оборуд.)'!$J$11:$U$15,2,0)</f>
        <v>1.0489999999999999</v>
      </c>
      <c r="N96" s="192">
        <f>HLOOKUP($P96,'-30% (без оборуд.)'!$J$11:$U$15,4,0)</f>
        <v>1.0489999999999999</v>
      </c>
      <c r="O96" s="192"/>
      <c r="P96" s="9" t="s">
        <v>51</v>
      </c>
    </row>
    <row r="97" spans="1:16" s="9" customFormat="1" ht="36" x14ac:dyDescent="0.2">
      <c r="A97" s="66"/>
      <c r="B97" s="67" t="s">
        <v>84</v>
      </c>
      <c r="C97" s="75" t="s">
        <v>87</v>
      </c>
      <c r="D97" s="239">
        <f t="shared" si="20"/>
        <v>7981.4309999999996</v>
      </c>
      <c r="E97" s="239">
        <f t="shared" si="21"/>
        <v>5616.9809999999998</v>
      </c>
      <c r="F97" s="239">
        <f>F96*$M97</f>
        <v>51512.201000000001</v>
      </c>
      <c r="G97" s="239">
        <f>G96*$M97</f>
        <v>3215.377</v>
      </c>
      <c r="H97" s="240">
        <f t="shared" si="18"/>
        <v>68325.990000000005</v>
      </c>
      <c r="I97" s="261">
        <f t="shared" si="24"/>
        <v>-1E-3</v>
      </c>
      <c r="K97" s="192">
        <f>HLOOKUP($P97,'-30% (без оборуд.)'!$J$11:$U$15,5,0)</f>
        <v>1.046</v>
      </c>
      <c r="L97" s="192">
        <f>HLOOKUP($P97,'-30% (без оборуд.)'!$J$11:$U$15,3,0)</f>
        <v>1.0620000000000001</v>
      </c>
      <c r="M97" s="192">
        <f>HLOOKUP($P97,'-30% (без оборуд.)'!$J$11:$U$15,2,0)</f>
        <v>1.143</v>
      </c>
      <c r="N97" s="192">
        <f>HLOOKUP($P97,'-30% (без оборуд.)'!$J$11:$U$15,4,0)</f>
        <v>1.143</v>
      </c>
      <c r="O97" s="192"/>
      <c r="P97" s="9" t="s">
        <v>52</v>
      </c>
    </row>
    <row r="98" spans="1:16" s="9" customFormat="1" ht="36" x14ac:dyDescent="0.2">
      <c r="A98" s="66"/>
      <c r="B98" s="67" t="s">
        <v>84</v>
      </c>
      <c r="C98" s="75" t="s">
        <v>88</v>
      </c>
      <c r="D98" s="239">
        <f t="shared" si="20"/>
        <v>8627.9269999999997</v>
      </c>
      <c r="E98" s="260">
        <f>E97*$M98+0.001</f>
        <v>6071.9570000000003</v>
      </c>
      <c r="F98" s="239">
        <f t="shared" si="22"/>
        <v>55684.688999999998</v>
      </c>
      <c r="G98" s="260">
        <f>G97*$M98-0.001</f>
        <v>3475.8220000000001</v>
      </c>
      <c r="H98" s="240">
        <f t="shared" si="18"/>
        <v>73860.395000000004</v>
      </c>
      <c r="I98" s="261">
        <f t="shared" si="24"/>
        <v>0</v>
      </c>
      <c r="K98" s="192">
        <f>HLOOKUP($P98,'-30% (без оборуд.)'!$J$11:$U$15,5,0)</f>
        <v>1.0469999999999999</v>
      </c>
      <c r="L98" s="192">
        <f>HLOOKUP($P98,'-30% (без оборуд.)'!$J$11:$U$15,3,0)</f>
        <v>1.0649999999999999</v>
      </c>
      <c r="M98" s="192">
        <f>HLOOKUP($P98,'-30% (без оборуд.)'!$J$11:$U$15,2,0)</f>
        <v>1.081</v>
      </c>
      <c r="N98" s="192">
        <f>HLOOKUP($P98,'-30% (без оборуд.)'!$J$11:$U$15,4,0)</f>
        <v>1.0629999999999999</v>
      </c>
      <c r="O98" s="192"/>
      <c r="P98" s="9" t="s">
        <v>53</v>
      </c>
    </row>
    <row r="99" spans="1:16" s="9" customFormat="1" ht="36" x14ac:dyDescent="0.2">
      <c r="A99" s="66"/>
      <c r="B99" s="67" t="s">
        <v>84</v>
      </c>
      <c r="C99" s="75" t="s">
        <v>89</v>
      </c>
      <c r="D99" s="239">
        <f t="shared" si="20"/>
        <v>9093.8349999999991</v>
      </c>
      <c r="E99" s="239">
        <f t="shared" si="21"/>
        <v>6399.8429999999998</v>
      </c>
      <c r="F99" s="239">
        <f t="shared" si="22"/>
        <v>58691.661999999997</v>
      </c>
      <c r="G99" s="239">
        <f t="shared" si="23"/>
        <v>3663.5160000000001</v>
      </c>
      <c r="H99" s="240">
        <f t="shared" si="18"/>
        <v>77848.856</v>
      </c>
      <c r="I99" s="261">
        <f t="shared" si="24"/>
        <v>0</v>
      </c>
      <c r="K99" s="192">
        <f>HLOOKUP($P99,'-30% (без оборуд.)'!$J$11:$U$15,5,0)</f>
        <v>1.046</v>
      </c>
      <c r="L99" s="192">
        <f>HLOOKUP($P99,'-30% (без оборуд.)'!$J$11:$U$15,3,0)</f>
        <v>1.0569999999999999</v>
      </c>
      <c r="M99" s="192">
        <f>HLOOKUP($P99,'-30% (без оборуд.)'!$J$11:$U$15,2,0)</f>
        <v>1.054</v>
      </c>
      <c r="N99" s="192">
        <f>HLOOKUP($P99,'-30% (без оборуд.)'!$J$11:$U$15,4,0)</f>
        <v>1.044</v>
      </c>
      <c r="O99" s="192"/>
      <c r="P99" s="9" t="s">
        <v>54</v>
      </c>
    </row>
    <row r="100" spans="1:16" s="9" customFormat="1" ht="36" x14ac:dyDescent="0.2">
      <c r="A100" s="66"/>
      <c r="B100" s="67" t="s">
        <v>84</v>
      </c>
      <c r="C100" s="75" t="s">
        <v>90</v>
      </c>
      <c r="D100" s="239">
        <f t="shared" si="20"/>
        <v>9493.9639999999999</v>
      </c>
      <c r="E100" s="239">
        <f t="shared" si="21"/>
        <v>6681.4359999999997</v>
      </c>
      <c r="F100" s="239">
        <f t="shared" si="22"/>
        <v>61274.095000000001</v>
      </c>
      <c r="G100" s="239">
        <f t="shared" si="23"/>
        <v>3824.7109999999998</v>
      </c>
      <c r="H100" s="240">
        <f t="shared" si="18"/>
        <v>81274.206000000006</v>
      </c>
      <c r="I100" s="261">
        <f t="shared" si="24"/>
        <v>0</v>
      </c>
      <c r="K100" s="192">
        <f>HLOOKUP($P100,'-30% (без оборуд.)'!$J$11:$U$15,5,0)</f>
        <v>1.046</v>
      </c>
      <c r="L100" s="192">
        <f>HLOOKUP($P100,'-30% (без оборуд.)'!$J$11:$U$15,3,0)</f>
        <v>1.0549999999999999</v>
      </c>
      <c r="M100" s="192">
        <f>HLOOKUP($P100,'-30% (без оборуд.)'!$J$11:$U$15,2,0)</f>
        <v>1.044</v>
      </c>
      <c r="N100" s="192">
        <f>HLOOKUP($P100,'-30% (без оборуд.)'!$J$11:$U$15,4,0)</f>
        <v>1.046</v>
      </c>
      <c r="O100" s="192"/>
      <c r="P100" s="9" t="s">
        <v>191</v>
      </c>
    </row>
    <row r="101" spans="1:16" s="9" customFormat="1" ht="36" x14ac:dyDescent="0.2">
      <c r="A101" s="66"/>
      <c r="B101" s="67" t="s">
        <v>84</v>
      </c>
      <c r="C101" s="75" t="s">
        <v>91</v>
      </c>
      <c r="D101" s="239">
        <f t="shared" si="20"/>
        <v>9930.6859999999997</v>
      </c>
      <c r="E101" s="239">
        <f t="shared" si="21"/>
        <v>6988.7820000000002</v>
      </c>
      <c r="F101" s="239">
        <f t="shared" si="22"/>
        <v>64092.703000000001</v>
      </c>
      <c r="G101" s="239">
        <f t="shared" si="23"/>
        <v>4000.6480000000001</v>
      </c>
      <c r="H101" s="240">
        <f t="shared" si="18"/>
        <v>85012.819000000003</v>
      </c>
      <c r="I101" s="261">
        <f t="shared" si="24"/>
        <v>0</v>
      </c>
      <c r="K101" s="192">
        <f>HLOOKUP($P101,'-30% (без оборуд.)'!$J$11:$U$15,5,0)</f>
        <v>1.04</v>
      </c>
      <c r="L101" s="192">
        <f>HLOOKUP($P101,'-30% (без оборуд.)'!$J$11:$U$15,3,0)</f>
        <v>1.0549999999999999</v>
      </c>
      <c r="M101" s="192">
        <f>HLOOKUP($P101,'-30% (без оборуд.)'!$J$11:$U$15,2,0)</f>
        <v>1.046</v>
      </c>
      <c r="N101" s="192">
        <f>HLOOKUP($P101,'-30% (без оборуд.)'!$J$11:$U$15,4,0)</f>
        <v>1.044</v>
      </c>
      <c r="O101" s="192"/>
      <c r="P101" s="9" t="s">
        <v>189</v>
      </c>
    </row>
    <row r="102" spans="1:16" s="9" customFormat="1" ht="25.5" x14ac:dyDescent="0.2">
      <c r="A102" s="66"/>
      <c r="B102" s="67"/>
      <c r="C102" s="11" t="s">
        <v>185</v>
      </c>
      <c r="D102" s="241">
        <f>D101</f>
        <v>9930.6859999999997</v>
      </c>
      <c r="E102" s="241">
        <f>E101</f>
        <v>6988.7820000000002</v>
      </c>
      <c r="F102" s="241">
        <f>F101</f>
        <v>64092.703000000001</v>
      </c>
      <c r="G102" s="241">
        <f>G101</f>
        <v>4000.6480000000001</v>
      </c>
      <c r="H102" s="242">
        <f t="shared" si="18"/>
        <v>85012.819000000003</v>
      </c>
      <c r="I102" s="261">
        <f>H102-'-30% (без оборуд.)'!I14/1000</f>
        <v>0</v>
      </c>
      <c r="K102" s="192"/>
      <c r="L102" s="193"/>
      <c r="M102" s="193"/>
      <c r="N102" s="193"/>
      <c r="O102" s="192"/>
    </row>
    <row r="103" spans="1:16" s="9" customFormat="1" ht="7.5" customHeight="1" x14ac:dyDescent="0.2">
      <c r="A103" s="245"/>
      <c r="B103" s="246"/>
      <c r="C103" s="246"/>
      <c r="D103" s="247"/>
      <c r="E103" s="247"/>
      <c r="F103" s="247"/>
      <c r="G103" s="247"/>
      <c r="H103" s="248"/>
    </row>
    <row r="104" spans="1:16" s="9" customFormat="1" x14ac:dyDescent="0.2">
      <c r="A104" s="70" t="s">
        <v>92</v>
      </c>
      <c r="B104" s="71"/>
      <c r="C104" s="71"/>
      <c r="D104" s="72"/>
      <c r="E104" s="72"/>
      <c r="F104" s="72"/>
      <c r="G104" s="72"/>
      <c r="H104" s="72"/>
      <c r="I104" s="68"/>
      <c r="K104" s="191"/>
      <c r="L104" s="191"/>
      <c r="M104" s="73"/>
      <c r="N104" s="73"/>
      <c r="O104" s="69"/>
    </row>
    <row r="105" spans="1:16" s="9" customFormat="1" x14ac:dyDescent="0.2">
      <c r="A105" s="66">
        <f>A91+1</f>
        <v>19</v>
      </c>
      <c r="B105" s="74"/>
      <c r="C105" s="75" t="s">
        <v>93</v>
      </c>
      <c r="D105" s="239">
        <f>ROUND(D102*18%,3)</f>
        <v>1787.5229999999999</v>
      </c>
      <c r="E105" s="239">
        <f>ROUND(E102*18%,3)</f>
        <v>1257.981</v>
      </c>
      <c r="F105" s="239">
        <f>ROUND(F102*18%,3)</f>
        <v>11536.687</v>
      </c>
      <c r="G105" s="239">
        <f>ROUND(G102*18%,3)</f>
        <v>720.11699999999996</v>
      </c>
      <c r="H105" s="243">
        <f>ROUND(H102*18%,3)</f>
        <v>15302.307000000001</v>
      </c>
      <c r="I105" s="68"/>
      <c r="K105" s="190"/>
      <c r="L105" s="190"/>
      <c r="M105" s="73"/>
      <c r="N105" s="73"/>
      <c r="O105" s="69"/>
    </row>
    <row r="106" spans="1:16" s="9" customFormat="1" ht="7.5" customHeight="1" x14ac:dyDescent="0.2">
      <c r="A106" s="245"/>
      <c r="B106" s="246"/>
      <c r="C106" s="246"/>
      <c r="D106" s="247"/>
      <c r="E106" s="247"/>
      <c r="F106" s="247"/>
      <c r="G106" s="247"/>
      <c r="H106" s="248"/>
    </row>
    <row r="107" spans="1:16" s="9" customFormat="1" ht="25.5" x14ac:dyDescent="0.2">
      <c r="A107" s="10"/>
      <c r="B107" s="11"/>
      <c r="C107" s="11" t="s">
        <v>184</v>
      </c>
      <c r="D107" s="172">
        <f>D102+D105</f>
        <v>11718.209000000001</v>
      </c>
      <c r="E107" s="172">
        <f>E102+E105</f>
        <v>8246.7630000000008</v>
      </c>
      <c r="F107" s="172">
        <f>F102+F105</f>
        <v>75629.39</v>
      </c>
      <c r="G107" s="172">
        <f>G102+G105</f>
        <v>4720.7650000000003</v>
      </c>
      <c r="H107" s="173">
        <f>H102+H105</f>
        <v>100315.126</v>
      </c>
      <c r="I107" s="65"/>
    </row>
    <row r="108" spans="1:16" s="80" customFormat="1" x14ac:dyDescent="0.2">
      <c r="A108" s="76"/>
      <c r="B108" s="76"/>
      <c r="C108" s="76"/>
      <c r="D108" s="77"/>
      <c r="E108" s="77"/>
      <c r="F108" s="77"/>
      <c r="G108" s="78"/>
      <c r="H108" s="77"/>
      <c r="I108" s="79"/>
      <c r="K108" s="194">
        <f>K95*K96*K97*K98*K99*K100*K101</f>
        <v>1.3751800000000001</v>
      </c>
      <c r="L108" s="194">
        <f t="shared" ref="L108:N108" si="25">L95*L96*L97*L98*L99*L100*L101</f>
        <v>1.4908600000000001</v>
      </c>
      <c r="M108" s="194">
        <f t="shared" si="25"/>
        <v>1.58134</v>
      </c>
      <c r="N108" s="194">
        <f t="shared" si="25"/>
        <v>1.54026</v>
      </c>
    </row>
    <row r="109" spans="1:16" s="80" customFormat="1" x14ac:dyDescent="0.2">
      <c r="A109" s="76"/>
      <c r="B109" s="76"/>
      <c r="C109" s="76"/>
      <c r="D109" s="77"/>
      <c r="E109" s="77"/>
      <c r="F109" s="77"/>
      <c r="G109" s="78"/>
      <c r="H109" s="77"/>
      <c r="I109" s="79"/>
    </row>
    <row r="110" spans="1:16" s="80" customFormat="1" x14ac:dyDescent="0.2">
      <c r="A110" s="76"/>
      <c r="B110" s="76"/>
      <c r="C110" s="76"/>
      <c r="D110" s="77"/>
      <c r="E110" s="77"/>
      <c r="F110" s="77"/>
      <c r="G110" s="78"/>
      <c r="H110" s="77"/>
      <c r="I110" s="79"/>
    </row>
    <row r="111" spans="1:16" s="80" customFormat="1" x14ac:dyDescent="0.2">
      <c r="A111" s="76"/>
      <c r="B111" s="76"/>
      <c r="C111" s="76"/>
      <c r="D111" s="77"/>
      <c r="E111" s="77"/>
      <c r="F111" s="77"/>
      <c r="G111" s="78"/>
      <c r="H111" s="77"/>
      <c r="I111" s="79"/>
    </row>
    <row r="112" spans="1:16" s="82" customFormat="1" x14ac:dyDescent="0.2">
      <c r="A112" s="170"/>
      <c r="B112" s="45" t="s">
        <v>195</v>
      </c>
      <c r="C112" s="45"/>
      <c r="D112" s="81"/>
      <c r="E112" s="81" t="s">
        <v>183</v>
      </c>
      <c r="F112" s="81"/>
      <c r="G112" s="81"/>
      <c r="H112" s="81"/>
      <c r="I112" s="231"/>
    </row>
    <row r="113" spans="1:16" s="82" customFormat="1" x14ac:dyDescent="0.2">
      <c r="A113" s="170"/>
      <c r="B113" s="83" t="s">
        <v>94</v>
      </c>
      <c r="C113" s="83"/>
      <c r="D113" s="84"/>
      <c r="E113" s="84" t="s">
        <v>95</v>
      </c>
      <c r="F113" s="81"/>
      <c r="G113" s="81"/>
      <c r="H113" s="81"/>
      <c r="I113" s="231"/>
    </row>
    <row r="114" spans="1:16" s="82" customFormat="1" x14ac:dyDescent="0.2">
      <c r="A114" s="170"/>
      <c r="B114" s="45"/>
      <c r="C114" s="45"/>
      <c r="D114" s="81"/>
      <c r="E114" s="81"/>
      <c r="F114" s="81"/>
      <c r="G114" s="81"/>
      <c r="H114" s="81"/>
      <c r="I114" s="231"/>
    </row>
    <row r="115" spans="1:16" s="82" customFormat="1" x14ac:dyDescent="0.2">
      <c r="A115" s="170"/>
      <c r="B115" s="45" t="s">
        <v>71</v>
      </c>
      <c r="C115" s="45"/>
      <c r="D115" s="81"/>
      <c r="E115" s="81" t="s">
        <v>96</v>
      </c>
      <c r="F115" s="81"/>
      <c r="G115" s="81"/>
      <c r="H115" s="81"/>
      <c r="I115" s="231"/>
    </row>
    <row r="116" spans="1:16" s="82" customFormat="1" x14ac:dyDescent="0.2">
      <c r="A116" s="170"/>
      <c r="B116" s="83" t="s">
        <v>97</v>
      </c>
      <c r="C116" s="83"/>
      <c r="D116" s="84"/>
      <c r="E116" s="84" t="s">
        <v>95</v>
      </c>
      <c r="F116" s="81"/>
      <c r="G116" s="81"/>
      <c r="H116" s="81"/>
      <c r="I116" s="231"/>
    </row>
    <row r="117" spans="1:16" s="80" customFormat="1" x14ac:dyDescent="0.2">
      <c r="A117" s="76"/>
      <c r="B117" s="76"/>
      <c r="C117" s="76"/>
      <c r="D117" s="77"/>
      <c r="E117" s="77"/>
      <c r="F117" s="77"/>
      <c r="G117" s="78"/>
      <c r="H117" s="77"/>
      <c r="I117" s="79"/>
    </row>
    <row r="118" spans="1:16" s="80" customFormat="1" x14ac:dyDescent="0.2">
      <c r="A118" s="76"/>
      <c r="B118" s="76"/>
      <c r="C118" s="76"/>
      <c r="D118" s="77"/>
      <c r="E118" s="77"/>
      <c r="F118" s="77"/>
      <c r="G118" s="78"/>
      <c r="H118" s="77"/>
      <c r="I118" s="79"/>
    </row>
    <row r="119" spans="1:16" s="48" customFormat="1" ht="45" hidden="1" outlineLevel="1" x14ac:dyDescent="0.2">
      <c r="A119" s="85"/>
      <c r="B119" s="86" t="s">
        <v>98</v>
      </c>
      <c r="C119" s="87" t="s">
        <v>99</v>
      </c>
      <c r="D119" s="88" t="s">
        <v>100</v>
      </c>
      <c r="E119" s="88" t="s">
        <v>100</v>
      </c>
      <c r="F119" s="88" t="s">
        <v>100</v>
      </c>
      <c r="G119" s="88" t="s">
        <v>100</v>
      </c>
      <c r="H119" s="89" t="s">
        <v>100</v>
      </c>
      <c r="I119" s="97"/>
      <c r="J119" s="91"/>
      <c r="L119" s="92"/>
    </row>
    <row r="120" spans="1:16" s="48" customFormat="1" ht="15" hidden="1" outlineLevel="1" x14ac:dyDescent="0.2">
      <c r="A120" s="85">
        <f>A91+1</f>
        <v>19</v>
      </c>
      <c r="B120" s="93"/>
      <c r="C120" s="94" t="s">
        <v>101</v>
      </c>
      <c r="D120" s="95" t="s">
        <v>100</v>
      </c>
      <c r="E120" s="95" t="s">
        <v>100</v>
      </c>
      <c r="F120" s="95" t="s">
        <v>100</v>
      </c>
      <c r="G120" s="95" t="s">
        <v>100</v>
      </c>
      <c r="H120" s="96" t="s">
        <v>100</v>
      </c>
      <c r="I120" s="97"/>
      <c r="J120" s="98"/>
      <c r="K120" s="51"/>
      <c r="L120" s="99"/>
      <c r="M120" s="51"/>
      <c r="N120" s="51"/>
      <c r="O120" s="51"/>
      <c r="P120" s="51"/>
    </row>
    <row r="121" spans="1:16" s="104" customFormat="1" ht="30" hidden="1" outlineLevel="1" x14ac:dyDescent="0.2">
      <c r="A121" s="100"/>
      <c r="B121" s="101"/>
      <c r="C121" s="87" t="s">
        <v>102</v>
      </c>
      <c r="D121" s="88" t="s">
        <v>100</v>
      </c>
      <c r="E121" s="88" t="s">
        <v>100</v>
      </c>
      <c r="F121" s="88" t="s">
        <v>100</v>
      </c>
      <c r="G121" s="88" t="s">
        <v>100</v>
      </c>
      <c r="H121" s="89" t="s">
        <v>100</v>
      </c>
      <c r="I121" s="97"/>
      <c r="J121" s="102"/>
      <c r="K121" s="51"/>
      <c r="L121" s="99"/>
      <c r="M121" s="103"/>
      <c r="N121" s="103"/>
      <c r="O121" s="103"/>
      <c r="P121" s="103"/>
    </row>
    <row r="122" spans="1:16" s="9" customFormat="1" hidden="1" outlineLevel="1" x14ac:dyDescent="0.2">
      <c r="A122" s="105"/>
      <c r="B122" s="105"/>
      <c r="C122" s="105"/>
      <c r="D122" s="106"/>
      <c r="E122" s="106"/>
      <c r="F122" s="106"/>
      <c r="G122" s="107"/>
      <c r="H122" s="106"/>
      <c r="I122" s="108"/>
    </row>
    <row r="123" spans="1:16" s="9" customFormat="1" hidden="1" outlineLevel="1" x14ac:dyDescent="0.2">
      <c r="A123" s="105"/>
      <c r="B123" s="105"/>
      <c r="C123" s="105"/>
      <c r="D123" s="106"/>
      <c r="E123" s="106"/>
      <c r="F123" s="106"/>
      <c r="G123" s="107"/>
      <c r="H123" s="106"/>
      <c r="I123" s="108"/>
    </row>
    <row r="124" spans="1:16" s="9" customFormat="1" hidden="1" outlineLevel="1" x14ac:dyDescent="0.2">
      <c r="A124" s="105"/>
      <c r="B124" s="105"/>
      <c r="C124" s="105"/>
      <c r="D124" s="106"/>
      <c r="E124" s="106"/>
      <c r="F124" s="106"/>
      <c r="G124" s="107"/>
      <c r="H124" s="106"/>
      <c r="I124" s="108"/>
    </row>
    <row r="125" spans="1:16" s="48" customFormat="1" hidden="1" outlineLevel="1" x14ac:dyDescent="0.2">
      <c r="A125" s="170"/>
      <c r="B125" s="109" t="s">
        <v>103</v>
      </c>
      <c r="C125" s="110"/>
      <c r="G125" s="104" t="s">
        <v>104</v>
      </c>
      <c r="H125" s="51"/>
      <c r="I125" s="98"/>
      <c r="J125" s="111"/>
    </row>
    <row r="126" spans="1:16" s="48" customFormat="1" hidden="1" outlineLevel="1" x14ac:dyDescent="0.2">
      <c r="A126" s="170"/>
      <c r="B126" s="112" t="s">
        <v>105</v>
      </c>
      <c r="C126" s="113"/>
      <c r="I126" s="114"/>
      <c r="J126" s="115"/>
    </row>
    <row r="127" spans="1:16" collapsed="1" x14ac:dyDescent="0.2"/>
  </sheetData>
  <mergeCells count="12">
    <mergeCell ref="A14:H14"/>
    <mergeCell ref="F2:G2"/>
    <mergeCell ref="F3:H4"/>
    <mergeCell ref="F5:H5"/>
    <mergeCell ref="B12:G12"/>
    <mergeCell ref="H18:H19"/>
    <mergeCell ref="B15:G15"/>
    <mergeCell ref="A17:G17"/>
    <mergeCell ref="A18:A19"/>
    <mergeCell ref="B18:B19"/>
    <mergeCell ref="C18:C19"/>
    <mergeCell ref="D18:G18"/>
  </mergeCells>
  <conditionalFormatting sqref="B83">
    <cfRule type="cellIs" dxfId="58" priority="37" operator="equal">
      <formula>0</formula>
    </cfRule>
    <cfRule type="cellIs" dxfId="57" priority="38" operator="equal">
      <formula>0</formula>
    </cfRule>
  </conditionalFormatting>
  <conditionalFormatting sqref="B82">
    <cfRule type="cellIs" dxfId="56" priority="41" operator="equal">
      <formula>0</formula>
    </cfRule>
    <cfRule type="cellIs" dxfId="55" priority="42" operator="equal">
      <formula>0</formula>
    </cfRule>
  </conditionalFormatting>
  <conditionalFormatting sqref="B31:B39">
    <cfRule type="cellIs" dxfId="54" priority="32" operator="equal">
      <formula>0</formula>
    </cfRule>
    <cfRule type="cellIs" dxfId="53" priority="33" operator="equal">
      <formula>0</formula>
    </cfRule>
  </conditionalFormatting>
  <conditionalFormatting sqref="B24">
    <cfRule type="cellIs" dxfId="52" priority="35" operator="equal">
      <formula>0</formula>
    </cfRule>
    <cfRule type="cellIs" dxfId="51" priority="36" operator="equal">
      <formula>0</formula>
    </cfRule>
  </conditionalFormatting>
  <conditionalFormatting sqref="B59:B60">
    <cfRule type="cellIs" dxfId="50" priority="16" operator="equal">
      <formula>0</formula>
    </cfRule>
    <cfRule type="cellIs" dxfId="49" priority="17" operator="equal">
      <formula>0</formula>
    </cfRule>
  </conditionalFormatting>
  <conditionalFormatting sqref="B23:C25">
    <cfRule type="cellIs" dxfId="48" priority="34" operator="equal">
      <formula>0</formula>
    </cfRule>
  </conditionalFormatting>
  <conditionalFormatting sqref="B31:C39">
    <cfRule type="cellIs" dxfId="47" priority="31" operator="equal">
      <formula>0</formula>
    </cfRule>
  </conditionalFormatting>
  <conditionalFormatting sqref="B45:B53">
    <cfRule type="cellIs" dxfId="46" priority="29" operator="equal">
      <formula>0</formula>
    </cfRule>
    <cfRule type="cellIs" dxfId="45" priority="30" operator="equal">
      <formula>0</formula>
    </cfRule>
  </conditionalFormatting>
  <conditionalFormatting sqref="B45:C53">
    <cfRule type="cellIs" dxfId="44" priority="28" operator="equal">
      <formula>0</formula>
    </cfRule>
  </conditionalFormatting>
  <conditionalFormatting sqref="C27:C28">
    <cfRule type="cellIs" dxfId="43" priority="27" operator="equal">
      <formula>0</formula>
    </cfRule>
  </conditionalFormatting>
  <conditionalFormatting sqref="C55:C56">
    <cfRule type="cellIs" dxfId="42" priority="25" operator="equal">
      <formula>0</formula>
    </cfRule>
  </conditionalFormatting>
  <conditionalFormatting sqref="C41:C42">
    <cfRule type="cellIs" dxfId="41" priority="26" operator="equal">
      <formula>0</formula>
    </cfRule>
  </conditionalFormatting>
  <conditionalFormatting sqref="C62:C63">
    <cfRule type="cellIs" dxfId="40" priority="24" operator="equal">
      <formula>0</formula>
    </cfRule>
  </conditionalFormatting>
  <conditionalFormatting sqref="C65:C66">
    <cfRule type="cellIs" dxfId="39" priority="23" operator="equal">
      <formula>0</formula>
    </cfRule>
  </conditionalFormatting>
  <conditionalFormatting sqref="C71:C72">
    <cfRule type="cellIs" dxfId="38" priority="19" operator="equal">
      <formula>0</formula>
    </cfRule>
  </conditionalFormatting>
  <conditionalFormatting sqref="B91:C91">
    <cfRule type="cellIs" dxfId="37" priority="6" operator="equal">
      <formula>0</formula>
    </cfRule>
  </conditionalFormatting>
  <conditionalFormatting sqref="C74:C75">
    <cfRule type="cellIs" dxfId="36" priority="18" operator="equal">
      <formula>0</formula>
    </cfRule>
  </conditionalFormatting>
  <conditionalFormatting sqref="B59:C60">
    <cfRule type="cellIs" dxfId="35" priority="15" operator="equal">
      <formula>0</formula>
    </cfRule>
  </conditionalFormatting>
  <conditionalFormatting sqref="C85:C86">
    <cfRule type="cellIs" dxfId="34" priority="5" operator="equal">
      <formula>0</formula>
    </cfRule>
  </conditionalFormatting>
  <conditionalFormatting sqref="B69">
    <cfRule type="cellIs" dxfId="33" priority="13" operator="equal">
      <formula>0</formula>
    </cfRule>
    <cfRule type="cellIs" dxfId="32" priority="14" operator="equal">
      <formula>0</formula>
    </cfRule>
  </conditionalFormatting>
  <conditionalFormatting sqref="B69:C69">
    <cfRule type="cellIs" dxfId="31" priority="12" operator="equal">
      <formula>0</formula>
    </cfRule>
  </conditionalFormatting>
  <conditionalFormatting sqref="B78:B81">
    <cfRule type="cellIs" dxfId="30" priority="10" operator="equal">
      <formula>0</formula>
    </cfRule>
    <cfRule type="cellIs" dxfId="29" priority="11" operator="equal">
      <formula>0</formula>
    </cfRule>
  </conditionalFormatting>
  <conditionalFormatting sqref="B78:C81">
    <cfRule type="cellIs" dxfId="28" priority="9" operator="equal">
      <formula>0</formula>
    </cfRule>
  </conditionalFormatting>
  <conditionalFormatting sqref="B94:C94">
    <cfRule type="cellIs" dxfId="27" priority="1" operator="equal">
      <formula>0</formula>
    </cfRule>
  </conditionalFormatting>
  <conditionalFormatting sqref="B91">
    <cfRule type="cellIs" dxfId="26" priority="7" operator="equal">
      <formula>0</formula>
    </cfRule>
    <cfRule type="cellIs" dxfId="25" priority="8" operator="equal">
      <formula>0</formula>
    </cfRule>
  </conditionalFormatting>
  <conditionalFormatting sqref="C88:C89">
    <cfRule type="cellIs" dxfId="24" priority="4" operator="equal">
      <formula>0</formula>
    </cfRule>
  </conditionalFormatting>
  <conditionalFormatting sqref="B94">
    <cfRule type="cellIs" dxfId="23" priority="2" operator="equal">
      <formula>0</formula>
    </cfRule>
    <cfRule type="cellIs" dxfId="22" priority="3" operator="equal">
      <formula>0</formula>
    </cfRule>
  </conditionalFormatting>
  <printOptions horizontalCentered="1"/>
  <pageMargins left="0.39370078740157483" right="0" top="0.39370078740157483" bottom="0.39370078740157483" header="0.19685039370078741" footer="0.19685039370078741"/>
  <pageSetup paperSize="9" scale="75" fitToHeight="100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93"/>
  <sheetViews>
    <sheetView showGridLines="0" tabSelected="1" view="pageBreakPreview" zoomScaleNormal="100" zoomScaleSheetLayoutView="100" workbookViewId="0">
      <selection activeCell="F2" sqref="F2:H2"/>
    </sheetView>
  </sheetViews>
  <sheetFormatPr defaultRowHeight="12.75" outlineLevelRow="1" x14ac:dyDescent="0.2"/>
  <cols>
    <col min="1" max="1" width="7.1640625" style="7" customWidth="1"/>
    <col min="2" max="2" width="14.5" style="7" customWidth="1"/>
    <col min="3" max="3" width="43.33203125" style="7" customWidth="1"/>
    <col min="4" max="5" width="15" style="7" customWidth="1"/>
    <col min="6" max="6" width="17.5" style="7" customWidth="1"/>
    <col min="7" max="7" width="15" style="7" customWidth="1"/>
    <col min="8" max="8" width="18.33203125" style="7" customWidth="1"/>
    <col min="9" max="9" width="11.6640625" style="7" customWidth="1"/>
    <col min="10" max="256" width="9.33203125" style="7"/>
    <col min="257" max="257" width="7.1640625" style="7" customWidth="1"/>
    <col min="258" max="258" width="14.5" style="7" customWidth="1"/>
    <col min="259" max="259" width="45.83203125" style="7" customWidth="1"/>
    <col min="260" max="260" width="13.6640625" style="7" customWidth="1"/>
    <col min="261" max="261" width="13.33203125" style="7" customWidth="1"/>
    <col min="262" max="262" width="16.1640625" style="7" customWidth="1"/>
    <col min="263" max="263" width="15.1640625" style="7" bestFit="1" customWidth="1"/>
    <col min="264" max="264" width="15.83203125" style="7" customWidth="1"/>
    <col min="265" max="265" width="11.6640625" style="7" customWidth="1"/>
    <col min="266" max="512" width="9.33203125" style="7"/>
    <col min="513" max="513" width="7.1640625" style="7" customWidth="1"/>
    <col min="514" max="514" width="14.5" style="7" customWidth="1"/>
    <col min="515" max="515" width="45.83203125" style="7" customWidth="1"/>
    <col min="516" max="516" width="13.6640625" style="7" customWidth="1"/>
    <col min="517" max="517" width="13.33203125" style="7" customWidth="1"/>
    <col min="518" max="518" width="16.1640625" style="7" customWidth="1"/>
    <col min="519" max="519" width="15.1640625" style="7" bestFit="1" customWidth="1"/>
    <col min="520" max="520" width="15.83203125" style="7" customWidth="1"/>
    <col min="521" max="521" width="11.6640625" style="7" customWidth="1"/>
    <col min="522" max="768" width="9.33203125" style="7"/>
    <col min="769" max="769" width="7.1640625" style="7" customWidth="1"/>
    <col min="770" max="770" width="14.5" style="7" customWidth="1"/>
    <col min="771" max="771" width="45.83203125" style="7" customWidth="1"/>
    <col min="772" max="772" width="13.6640625" style="7" customWidth="1"/>
    <col min="773" max="773" width="13.33203125" style="7" customWidth="1"/>
    <col min="774" max="774" width="16.1640625" style="7" customWidth="1"/>
    <col min="775" max="775" width="15.1640625" style="7" bestFit="1" customWidth="1"/>
    <col min="776" max="776" width="15.83203125" style="7" customWidth="1"/>
    <col min="777" max="777" width="11.6640625" style="7" customWidth="1"/>
    <col min="778" max="1024" width="9.33203125" style="7"/>
    <col min="1025" max="1025" width="7.1640625" style="7" customWidth="1"/>
    <col min="1026" max="1026" width="14.5" style="7" customWidth="1"/>
    <col min="1027" max="1027" width="45.83203125" style="7" customWidth="1"/>
    <col min="1028" max="1028" width="13.6640625" style="7" customWidth="1"/>
    <col min="1029" max="1029" width="13.33203125" style="7" customWidth="1"/>
    <col min="1030" max="1030" width="16.1640625" style="7" customWidth="1"/>
    <col min="1031" max="1031" width="15.1640625" style="7" bestFit="1" customWidth="1"/>
    <col min="1032" max="1032" width="15.83203125" style="7" customWidth="1"/>
    <col min="1033" max="1033" width="11.6640625" style="7" customWidth="1"/>
    <col min="1034" max="1280" width="9.33203125" style="7"/>
    <col min="1281" max="1281" width="7.1640625" style="7" customWidth="1"/>
    <col min="1282" max="1282" width="14.5" style="7" customWidth="1"/>
    <col min="1283" max="1283" width="45.83203125" style="7" customWidth="1"/>
    <col min="1284" max="1284" width="13.6640625" style="7" customWidth="1"/>
    <col min="1285" max="1285" width="13.33203125" style="7" customWidth="1"/>
    <col min="1286" max="1286" width="16.1640625" style="7" customWidth="1"/>
    <col min="1287" max="1287" width="15.1640625" style="7" bestFit="1" customWidth="1"/>
    <col min="1288" max="1288" width="15.83203125" style="7" customWidth="1"/>
    <col min="1289" max="1289" width="11.6640625" style="7" customWidth="1"/>
    <col min="1290" max="1536" width="9.33203125" style="7"/>
    <col min="1537" max="1537" width="7.1640625" style="7" customWidth="1"/>
    <col min="1538" max="1538" width="14.5" style="7" customWidth="1"/>
    <col min="1539" max="1539" width="45.83203125" style="7" customWidth="1"/>
    <col min="1540" max="1540" width="13.6640625" style="7" customWidth="1"/>
    <col min="1541" max="1541" width="13.33203125" style="7" customWidth="1"/>
    <col min="1542" max="1542" width="16.1640625" style="7" customWidth="1"/>
    <col min="1543" max="1543" width="15.1640625" style="7" bestFit="1" customWidth="1"/>
    <col min="1544" max="1544" width="15.83203125" style="7" customWidth="1"/>
    <col min="1545" max="1545" width="11.6640625" style="7" customWidth="1"/>
    <col min="1546" max="1792" width="9.33203125" style="7"/>
    <col min="1793" max="1793" width="7.1640625" style="7" customWidth="1"/>
    <col min="1794" max="1794" width="14.5" style="7" customWidth="1"/>
    <col min="1795" max="1795" width="45.83203125" style="7" customWidth="1"/>
    <col min="1796" max="1796" width="13.6640625" style="7" customWidth="1"/>
    <col min="1797" max="1797" width="13.33203125" style="7" customWidth="1"/>
    <col min="1798" max="1798" width="16.1640625" style="7" customWidth="1"/>
    <col min="1799" max="1799" width="15.1640625" style="7" bestFit="1" customWidth="1"/>
    <col min="1800" max="1800" width="15.83203125" style="7" customWidth="1"/>
    <col min="1801" max="1801" width="11.6640625" style="7" customWidth="1"/>
    <col min="1802" max="2048" width="9.33203125" style="7"/>
    <col min="2049" max="2049" width="7.1640625" style="7" customWidth="1"/>
    <col min="2050" max="2050" width="14.5" style="7" customWidth="1"/>
    <col min="2051" max="2051" width="45.83203125" style="7" customWidth="1"/>
    <col min="2052" max="2052" width="13.6640625" style="7" customWidth="1"/>
    <col min="2053" max="2053" width="13.33203125" style="7" customWidth="1"/>
    <col min="2054" max="2054" width="16.1640625" style="7" customWidth="1"/>
    <col min="2055" max="2055" width="15.1640625" style="7" bestFit="1" customWidth="1"/>
    <col min="2056" max="2056" width="15.83203125" style="7" customWidth="1"/>
    <col min="2057" max="2057" width="11.6640625" style="7" customWidth="1"/>
    <col min="2058" max="2304" width="9.33203125" style="7"/>
    <col min="2305" max="2305" width="7.1640625" style="7" customWidth="1"/>
    <col min="2306" max="2306" width="14.5" style="7" customWidth="1"/>
    <col min="2307" max="2307" width="45.83203125" style="7" customWidth="1"/>
    <col min="2308" max="2308" width="13.6640625" style="7" customWidth="1"/>
    <col min="2309" max="2309" width="13.33203125" style="7" customWidth="1"/>
    <col min="2310" max="2310" width="16.1640625" style="7" customWidth="1"/>
    <col min="2311" max="2311" width="15.1640625" style="7" bestFit="1" customWidth="1"/>
    <col min="2312" max="2312" width="15.83203125" style="7" customWidth="1"/>
    <col min="2313" max="2313" width="11.6640625" style="7" customWidth="1"/>
    <col min="2314" max="2560" width="9.33203125" style="7"/>
    <col min="2561" max="2561" width="7.1640625" style="7" customWidth="1"/>
    <col min="2562" max="2562" width="14.5" style="7" customWidth="1"/>
    <col min="2563" max="2563" width="45.83203125" style="7" customWidth="1"/>
    <col min="2564" max="2564" width="13.6640625" style="7" customWidth="1"/>
    <col min="2565" max="2565" width="13.33203125" style="7" customWidth="1"/>
    <col min="2566" max="2566" width="16.1640625" style="7" customWidth="1"/>
    <col min="2567" max="2567" width="15.1640625" style="7" bestFit="1" customWidth="1"/>
    <col min="2568" max="2568" width="15.83203125" style="7" customWidth="1"/>
    <col min="2569" max="2569" width="11.6640625" style="7" customWidth="1"/>
    <col min="2570" max="2816" width="9.33203125" style="7"/>
    <col min="2817" max="2817" width="7.1640625" style="7" customWidth="1"/>
    <col min="2818" max="2818" width="14.5" style="7" customWidth="1"/>
    <col min="2819" max="2819" width="45.83203125" style="7" customWidth="1"/>
    <col min="2820" max="2820" width="13.6640625" style="7" customWidth="1"/>
    <col min="2821" max="2821" width="13.33203125" style="7" customWidth="1"/>
    <col min="2822" max="2822" width="16.1640625" style="7" customWidth="1"/>
    <col min="2823" max="2823" width="15.1640625" style="7" bestFit="1" customWidth="1"/>
    <col min="2824" max="2824" width="15.83203125" style="7" customWidth="1"/>
    <col min="2825" max="2825" width="11.6640625" style="7" customWidth="1"/>
    <col min="2826" max="3072" width="9.33203125" style="7"/>
    <col min="3073" max="3073" width="7.1640625" style="7" customWidth="1"/>
    <col min="3074" max="3074" width="14.5" style="7" customWidth="1"/>
    <col min="3075" max="3075" width="45.83203125" style="7" customWidth="1"/>
    <col min="3076" max="3076" width="13.6640625" style="7" customWidth="1"/>
    <col min="3077" max="3077" width="13.33203125" style="7" customWidth="1"/>
    <col min="3078" max="3078" width="16.1640625" style="7" customWidth="1"/>
    <col min="3079" max="3079" width="15.1640625" style="7" bestFit="1" customWidth="1"/>
    <col min="3080" max="3080" width="15.83203125" style="7" customWidth="1"/>
    <col min="3081" max="3081" width="11.6640625" style="7" customWidth="1"/>
    <col min="3082" max="3328" width="9.33203125" style="7"/>
    <col min="3329" max="3329" width="7.1640625" style="7" customWidth="1"/>
    <col min="3330" max="3330" width="14.5" style="7" customWidth="1"/>
    <col min="3331" max="3331" width="45.83203125" style="7" customWidth="1"/>
    <col min="3332" max="3332" width="13.6640625" style="7" customWidth="1"/>
    <col min="3333" max="3333" width="13.33203125" style="7" customWidth="1"/>
    <col min="3334" max="3334" width="16.1640625" style="7" customWidth="1"/>
    <col min="3335" max="3335" width="15.1640625" style="7" bestFit="1" customWidth="1"/>
    <col min="3336" max="3336" width="15.83203125" style="7" customWidth="1"/>
    <col min="3337" max="3337" width="11.6640625" style="7" customWidth="1"/>
    <col min="3338" max="3584" width="9.33203125" style="7"/>
    <col min="3585" max="3585" width="7.1640625" style="7" customWidth="1"/>
    <col min="3586" max="3586" width="14.5" style="7" customWidth="1"/>
    <col min="3587" max="3587" width="45.83203125" style="7" customWidth="1"/>
    <col min="3588" max="3588" width="13.6640625" style="7" customWidth="1"/>
    <col min="3589" max="3589" width="13.33203125" style="7" customWidth="1"/>
    <col min="3590" max="3590" width="16.1640625" style="7" customWidth="1"/>
    <col min="3591" max="3591" width="15.1640625" style="7" bestFit="1" customWidth="1"/>
    <col min="3592" max="3592" width="15.83203125" style="7" customWidth="1"/>
    <col min="3593" max="3593" width="11.6640625" style="7" customWidth="1"/>
    <col min="3594" max="3840" width="9.33203125" style="7"/>
    <col min="3841" max="3841" width="7.1640625" style="7" customWidth="1"/>
    <col min="3842" max="3842" width="14.5" style="7" customWidth="1"/>
    <col min="3843" max="3843" width="45.83203125" style="7" customWidth="1"/>
    <col min="3844" max="3844" width="13.6640625" style="7" customWidth="1"/>
    <col min="3845" max="3845" width="13.33203125" style="7" customWidth="1"/>
    <col min="3846" max="3846" width="16.1640625" style="7" customWidth="1"/>
    <col min="3847" max="3847" width="15.1640625" style="7" bestFit="1" customWidth="1"/>
    <col min="3848" max="3848" width="15.83203125" style="7" customWidth="1"/>
    <col min="3849" max="3849" width="11.6640625" style="7" customWidth="1"/>
    <col min="3850" max="4096" width="9.33203125" style="7"/>
    <col min="4097" max="4097" width="7.1640625" style="7" customWidth="1"/>
    <col min="4098" max="4098" width="14.5" style="7" customWidth="1"/>
    <col min="4099" max="4099" width="45.83203125" style="7" customWidth="1"/>
    <col min="4100" max="4100" width="13.6640625" style="7" customWidth="1"/>
    <col min="4101" max="4101" width="13.33203125" style="7" customWidth="1"/>
    <col min="4102" max="4102" width="16.1640625" style="7" customWidth="1"/>
    <col min="4103" max="4103" width="15.1640625" style="7" bestFit="1" customWidth="1"/>
    <col min="4104" max="4104" width="15.83203125" style="7" customWidth="1"/>
    <col min="4105" max="4105" width="11.6640625" style="7" customWidth="1"/>
    <col min="4106" max="4352" width="9.33203125" style="7"/>
    <col min="4353" max="4353" width="7.1640625" style="7" customWidth="1"/>
    <col min="4354" max="4354" width="14.5" style="7" customWidth="1"/>
    <col min="4355" max="4355" width="45.83203125" style="7" customWidth="1"/>
    <col min="4356" max="4356" width="13.6640625" style="7" customWidth="1"/>
    <col min="4357" max="4357" width="13.33203125" style="7" customWidth="1"/>
    <col min="4358" max="4358" width="16.1640625" style="7" customWidth="1"/>
    <col min="4359" max="4359" width="15.1640625" style="7" bestFit="1" customWidth="1"/>
    <col min="4360" max="4360" width="15.83203125" style="7" customWidth="1"/>
    <col min="4361" max="4361" width="11.6640625" style="7" customWidth="1"/>
    <col min="4362" max="4608" width="9.33203125" style="7"/>
    <col min="4609" max="4609" width="7.1640625" style="7" customWidth="1"/>
    <col min="4610" max="4610" width="14.5" style="7" customWidth="1"/>
    <col min="4611" max="4611" width="45.83203125" style="7" customWidth="1"/>
    <col min="4612" max="4612" width="13.6640625" style="7" customWidth="1"/>
    <col min="4613" max="4613" width="13.33203125" style="7" customWidth="1"/>
    <col min="4614" max="4614" width="16.1640625" style="7" customWidth="1"/>
    <col min="4615" max="4615" width="15.1640625" style="7" bestFit="1" customWidth="1"/>
    <col min="4616" max="4616" width="15.83203125" style="7" customWidth="1"/>
    <col min="4617" max="4617" width="11.6640625" style="7" customWidth="1"/>
    <col min="4618" max="4864" width="9.33203125" style="7"/>
    <col min="4865" max="4865" width="7.1640625" style="7" customWidth="1"/>
    <col min="4866" max="4866" width="14.5" style="7" customWidth="1"/>
    <col min="4867" max="4867" width="45.83203125" style="7" customWidth="1"/>
    <col min="4868" max="4868" width="13.6640625" style="7" customWidth="1"/>
    <col min="4869" max="4869" width="13.33203125" style="7" customWidth="1"/>
    <col min="4870" max="4870" width="16.1640625" style="7" customWidth="1"/>
    <col min="4871" max="4871" width="15.1640625" style="7" bestFit="1" customWidth="1"/>
    <col min="4872" max="4872" width="15.83203125" style="7" customWidth="1"/>
    <col min="4873" max="4873" width="11.6640625" style="7" customWidth="1"/>
    <col min="4874" max="5120" width="9.33203125" style="7"/>
    <col min="5121" max="5121" width="7.1640625" style="7" customWidth="1"/>
    <col min="5122" max="5122" width="14.5" style="7" customWidth="1"/>
    <col min="5123" max="5123" width="45.83203125" style="7" customWidth="1"/>
    <col min="5124" max="5124" width="13.6640625" style="7" customWidth="1"/>
    <col min="5125" max="5125" width="13.33203125" style="7" customWidth="1"/>
    <col min="5126" max="5126" width="16.1640625" style="7" customWidth="1"/>
    <col min="5127" max="5127" width="15.1640625" style="7" bestFit="1" customWidth="1"/>
    <col min="5128" max="5128" width="15.83203125" style="7" customWidth="1"/>
    <col min="5129" max="5129" width="11.6640625" style="7" customWidth="1"/>
    <col min="5130" max="5376" width="9.33203125" style="7"/>
    <col min="5377" max="5377" width="7.1640625" style="7" customWidth="1"/>
    <col min="5378" max="5378" width="14.5" style="7" customWidth="1"/>
    <col min="5379" max="5379" width="45.83203125" style="7" customWidth="1"/>
    <col min="5380" max="5380" width="13.6640625" style="7" customWidth="1"/>
    <col min="5381" max="5381" width="13.33203125" style="7" customWidth="1"/>
    <col min="5382" max="5382" width="16.1640625" style="7" customWidth="1"/>
    <col min="5383" max="5383" width="15.1640625" style="7" bestFit="1" customWidth="1"/>
    <col min="5384" max="5384" width="15.83203125" style="7" customWidth="1"/>
    <col min="5385" max="5385" width="11.6640625" style="7" customWidth="1"/>
    <col min="5386" max="5632" width="9.33203125" style="7"/>
    <col min="5633" max="5633" width="7.1640625" style="7" customWidth="1"/>
    <col min="5634" max="5634" width="14.5" style="7" customWidth="1"/>
    <col min="5635" max="5635" width="45.83203125" style="7" customWidth="1"/>
    <col min="5636" max="5636" width="13.6640625" style="7" customWidth="1"/>
    <col min="5637" max="5637" width="13.33203125" style="7" customWidth="1"/>
    <col min="5638" max="5638" width="16.1640625" style="7" customWidth="1"/>
    <col min="5639" max="5639" width="15.1640625" style="7" bestFit="1" customWidth="1"/>
    <col min="5640" max="5640" width="15.83203125" style="7" customWidth="1"/>
    <col min="5641" max="5641" width="11.6640625" style="7" customWidth="1"/>
    <col min="5642" max="5888" width="9.33203125" style="7"/>
    <col min="5889" max="5889" width="7.1640625" style="7" customWidth="1"/>
    <col min="5890" max="5890" width="14.5" style="7" customWidth="1"/>
    <col min="5891" max="5891" width="45.83203125" style="7" customWidth="1"/>
    <col min="5892" max="5892" width="13.6640625" style="7" customWidth="1"/>
    <col min="5893" max="5893" width="13.33203125" style="7" customWidth="1"/>
    <col min="5894" max="5894" width="16.1640625" style="7" customWidth="1"/>
    <col min="5895" max="5895" width="15.1640625" style="7" bestFit="1" customWidth="1"/>
    <col min="5896" max="5896" width="15.83203125" style="7" customWidth="1"/>
    <col min="5897" max="5897" width="11.6640625" style="7" customWidth="1"/>
    <col min="5898" max="6144" width="9.33203125" style="7"/>
    <col min="6145" max="6145" width="7.1640625" style="7" customWidth="1"/>
    <col min="6146" max="6146" width="14.5" style="7" customWidth="1"/>
    <col min="6147" max="6147" width="45.83203125" style="7" customWidth="1"/>
    <col min="6148" max="6148" width="13.6640625" style="7" customWidth="1"/>
    <col min="6149" max="6149" width="13.33203125" style="7" customWidth="1"/>
    <col min="6150" max="6150" width="16.1640625" style="7" customWidth="1"/>
    <col min="6151" max="6151" width="15.1640625" style="7" bestFit="1" customWidth="1"/>
    <col min="6152" max="6152" width="15.83203125" style="7" customWidth="1"/>
    <col min="6153" max="6153" width="11.6640625" style="7" customWidth="1"/>
    <col min="6154" max="6400" width="9.33203125" style="7"/>
    <col min="6401" max="6401" width="7.1640625" style="7" customWidth="1"/>
    <col min="6402" max="6402" width="14.5" style="7" customWidth="1"/>
    <col min="6403" max="6403" width="45.83203125" style="7" customWidth="1"/>
    <col min="6404" max="6404" width="13.6640625" style="7" customWidth="1"/>
    <col min="6405" max="6405" width="13.33203125" style="7" customWidth="1"/>
    <col min="6406" max="6406" width="16.1640625" style="7" customWidth="1"/>
    <col min="6407" max="6407" width="15.1640625" style="7" bestFit="1" customWidth="1"/>
    <col min="6408" max="6408" width="15.83203125" style="7" customWidth="1"/>
    <col min="6409" max="6409" width="11.6640625" style="7" customWidth="1"/>
    <col min="6410" max="6656" width="9.33203125" style="7"/>
    <col min="6657" max="6657" width="7.1640625" style="7" customWidth="1"/>
    <col min="6658" max="6658" width="14.5" style="7" customWidth="1"/>
    <col min="6659" max="6659" width="45.83203125" style="7" customWidth="1"/>
    <col min="6660" max="6660" width="13.6640625" style="7" customWidth="1"/>
    <col min="6661" max="6661" width="13.33203125" style="7" customWidth="1"/>
    <col min="6662" max="6662" width="16.1640625" style="7" customWidth="1"/>
    <col min="6663" max="6663" width="15.1640625" style="7" bestFit="1" customWidth="1"/>
    <col min="6664" max="6664" width="15.83203125" style="7" customWidth="1"/>
    <col min="6665" max="6665" width="11.6640625" style="7" customWidth="1"/>
    <col min="6666" max="6912" width="9.33203125" style="7"/>
    <col min="6913" max="6913" width="7.1640625" style="7" customWidth="1"/>
    <col min="6914" max="6914" width="14.5" style="7" customWidth="1"/>
    <col min="6915" max="6915" width="45.83203125" style="7" customWidth="1"/>
    <col min="6916" max="6916" width="13.6640625" style="7" customWidth="1"/>
    <col min="6917" max="6917" width="13.33203125" style="7" customWidth="1"/>
    <col min="6918" max="6918" width="16.1640625" style="7" customWidth="1"/>
    <col min="6919" max="6919" width="15.1640625" style="7" bestFit="1" customWidth="1"/>
    <col min="6920" max="6920" width="15.83203125" style="7" customWidth="1"/>
    <col min="6921" max="6921" width="11.6640625" style="7" customWidth="1"/>
    <col min="6922" max="7168" width="9.33203125" style="7"/>
    <col min="7169" max="7169" width="7.1640625" style="7" customWidth="1"/>
    <col min="7170" max="7170" width="14.5" style="7" customWidth="1"/>
    <col min="7171" max="7171" width="45.83203125" style="7" customWidth="1"/>
    <col min="7172" max="7172" width="13.6640625" style="7" customWidth="1"/>
    <col min="7173" max="7173" width="13.33203125" style="7" customWidth="1"/>
    <col min="7174" max="7174" width="16.1640625" style="7" customWidth="1"/>
    <col min="7175" max="7175" width="15.1640625" style="7" bestFit="1" customWidth="1"/>
    <col min="7176" max="7176" width="15.83203125" style="7" customWidth="1"/>
    <col min="7177" max="7177" width="11.6640625" style="7" customWidth="1"/>
    <col min="7178" max="7424" width="9.33203125" style="7"/>
    <col min="7425" max="7425" width="7.1640625" style="7" customWidth="1"/>
    <col min="7426" max="7426" width="14.5" style="7" customWidth="1"/>
    <col min="7427" max="7427" width="45.83203125" style="7" customWidth="1"/>
    <col min="7428" max="7428" width="13.6640625" style="7" customWidth="1"/>
    <col min="7429" max="7429" width="13.33203125" style="7" customWidth="1"/>
    <col min="7430" max="7430" width="16.1640625" style="7" customWidth="1"/>
    <col min="7431" max="7431" width="15.1640625" style="7" bestFit="1" customWidth="1"/>
    <col min="7432" max="7432" width="15.83203125" style="7" customWidth="1"/>
    <col min="7433" max="7433" width="11.6640625" style="7" customWidth="1"/>
    <col min="7434" max="7680" width="9.33203125" style="7"/>
    <col min="7681" max="7681" width="7.1640625" style="7" customWidth="1"/>
    <col min="7682" max="7682" width="14.5" style="7" customWidth="1"/>
    <col min="7683" max="7683" width="45.83203125" style="7" customWidth="1"/>
    <col min="7684" max="7684" width="13.6640625" style="7" customWidth="1"/>
    <col min="7685" max="7685" width="13.33203125" style="7" customWidth="1"/>
    <col min="7686" max="7686" width="16.1640625" style="7" customWidth="1"/>
    <col min="7687" max="7687" width="15.1640625" style="7" bestFit="1" customWidth="1"/>
    <col min="7688" max="7688" width="15.83203125" style="7" customWidth="1"/>
    <col min="7689" max="7689" width="11.6640625" style="7" customWidth="1"/>
    <col min="7690" max="7936" width="9.33203125" style="7"/>
    <col min="7937" max="7937" width="7.1640625" style="7" customWidth="1"/>
    <col min="7938" max="7938" width="14.5" style="7" customWidth="1"/>
    <col min="7939" max="7939" width="45.83203125" style="7" customWidth="1"/>
    <col min="7940" max="7940" width="13.6640625" style="7" customWidth="1"/>
    <col min="7941" max="7941" width="13.33203125" style="7" customWidth="1"/>
    <col min="7942" max="7942" width="16.1640625" style="7" customWidth="1"/>
    <col min="7943" max="7943" width="15.1640625" style="7" bestFit="1" customWidth="1"/>
    <col min="7944" max="7944" width="15.83203125" style="7" customWidth="1"/>
    <col min="7945" max="7945" width="11.6640625" style="7" customWidth="1"/>
    <col min="7946" max="8192" width="9.33203125" style="7"/>
    <col min="8193" max="8193" width="7.1640625" style="7" customWidth="1"/>
    <col min="8194" max="8194" width="14.5" style="7" customWidth="1"/>
    <col min="8195" max="8195" width="45.83203125" style="7" customWidth="1"/>
    <col min="8196" max="8196" width="13.6640625" style="7" customWidth="1"/>
    <col min="8197" max="8197" width="13.33203125" style="7" customWidth="1"/>
    <col min="8198" max="8198" width="16.1640625" style="7" customWidth="1"/>
    <col min="8199" max="8199" width="15.1640625" style="7" bestFit="1" customWidth="1"/>
    <col min="8200" max="8200" width="15.83203125" style="7" customWidth="1"/>
    <col min="8201" max="8201" width="11.6640625" style="7" customWidth="1"/>
    <col min="8202" max="8448" width="9.33203125" style="7"/>
    <col min="8449" max="8449" width="7.1640625" style="7" customWidth="1"/>
    <col min="8450" max="8450" width="14.5" style="7" customWidth="1"/>
    <col min="8451" max="8451" width="45.83203125" style="7" customWidth="1"/>
    <col min="8452" max="8452" width="13.6640625" style="7" customWidth="1"/>
    <col min="8453" max="8453" width="13.33203125" style="7" customWidth="1"/>
    <col min="8454" max="8454" width="16.1640625" style="7" customWidth="1"/>
    <col min="8455" max="8455" width="15.1640625" style="7" bestFit="1" customWidth="1"/>
    <col min="8456" max="8456" width="15.83203125" style="7" customWidth="1"/>
    <col min="8457" max="8457" width="11.6640625" style="7" customWidth="1"/>
    <col min="8458" max="8704" width="9.33203125" style="7"/>
    <col min="8705" max="8705" width="7.1640625" style="7" customWidth="1"/>
    <col min="8706" max="8706" width="14.5" style="7" customWidth="1"/>
    <col min="8707" max="8707" width="45.83203125" style="7" customWidth="1"/>
    <col min="8708" max="8708" width="13.6640625" style="7" customWidth="1"/>
    <col min="8709" max="8709" width="13.33203125" style="7" customWidth="1"/>
    <col min="8710" max="8710" width="16.1640625" style="7" customWidth="1"/>
    <col min="8711" max="8711" width="15.1640625" style="7" bestFit="1" customWidth="1"/>
    <col min="8712" max="8712" width="15.83203125" style="7" customWidth="1"/>
    <col min="8713" max="8713" width="11.6640625" style="7" customWidth="1"/>
    <col min="8714" max="8960" width="9.33203125" style="7"/>
    <col min="8961" max="8961" width="7.1640625" style="7" customWidth="1"/>
    <col min="8962" max="8962" width="14.5" style="7" customWidth="1"/>
    <col min="8963" max="8963" width="45.83203125" style="7" customWidth="1"/>
    <col min="8964" max="8964" width="13.6640625" style="7" customWidth="1"/>
    <col min="8965" max="8965" width="13.33203125" style="7" customWidth="1"/>
    <col min="8966" max="8966" width="16.1640625" style="7" customWidth="1"/>
    <col min="8967" max="8967" width="15.1640625" style="7" bestFit="1" customWidth="1"/>
    <col min="8968" max="8968" width="15.83203125" style="7" customWidth="1"/>
    <col min="8969" max="8969" width="11.6640625" style="7" customWidth="1"/>
    <col min="8970" max="9216" width="9.33203125" style="7"/>
    <col min="9217" max="9217" width="7.1640625" style="7" customWidth="1"/>
    <col min="9218" max="9218" width="14.5" style="7" customWidth="1"/>
    <col min="9219" max="9219" width="45.83203125" style="7" customWidth="1"/>
    <col min="9220" max="9220" width="13.6640625" style="7" customWidth="1"/>
    <col min="9221" max="9221" width="13.33203125" style="7" customWidth="1"/>
    <col min="9222" max="9222" width="16.1640625" style="7" customWidth="1"/>
    <col min="9223" max="9223" width="15.1640625" style="7" bestFit="1" customWidth="1"/>
    <col min="9224" max="9224" width="15.83203125" style="7" customWidth="1"/>
    <col min="9225" max="9225" width="11.6640625" style="7" customWidth="1"/>
    <col min="9226" max="9472" width="9.33203125" style="7"/>
    <col min="9473" max="9473" width="7.1640625" style="7" customWidth="1"/>
    <col min="9474" max="9474" width="14.5" style="7" customWidth="1"/>
    <col min="9475" max="9475" width="45.83203125" style="7" customWidth="1"/>
    <col min="9476" max="9476" width="13.6640625" style="7" customWidth="1"/>
    <col min="9477" max="9477" width="13.33203125" style="7" customWidth="1"/>
    <col min="9478" max="9478" width="16.1640625" style="7" customWidth="1"/>
    <col min="9479" max="9479" width="15.1640625" style="7" bestFit="1" customWidth="1"/>
    <col min="9480" max="9480" width="15.83203125" style="7" customWidth="1"/>
    <col min="9481" max="9481" width="11.6640625" style="7" customWidth="1"/>
    <col min="9482" max="9728" width="9.33203125" style="7"/>
    <col min="9729" max="9729" width="7.1640625" style="7" customWidth="1"/>
    <col min="9730" max="9730" width="14.5" style="7" customWidth="1"/>
    <col min="9731" max="9731" width="45.83203125" style="7" customWidth="1"/>
    <col min="9732" max="9732" width="13.6640625" style="7" customWidth="1"/>
    <col min="9733" max="9733" width="13.33203125" style="7" customWidth="1"/>
    <col min="9734" max="9734" width="16.1640625" style="7" customWidth="1"/>
    <col min="9735" max="9735" width="15.1640625" style="7" bestFit="1" customWidth="1"/>
    <col min="9736" max="9736" width="15.83203125" style="7" customWidth="1"/>
    <col min="9737" max="9737" width="11.6640625" style="7" customWidth="1"/>
    <col min="9738" max="9984" width="9.33203125" style="7"/>
    <col min="9985" max="9985" width="7.1640625" style="7" customWidth="1"/>
    <col min="9986" max="9986" width="14.5" style="7" customWidth="1"/>
    <col min="9987" max="9987" width="45.83203125" style="7" customWidth="1"/>
    <col min="9988" max="9988" width="13.6640625" style="7" customWidth="1"/>
    <col min="9989" max="9989" width="13.33203125" style="7" customWidth="1"/>
    <col min="9990" max="9990" width="16.1640625" style="7" customWidth="1"/>
    <col min="9991" max="9991" width="15.1640625" style="7" bestFit="1" customWidth="1"/>
    <col min="9992" max="9992" width="15.83203125" style="7" customWidth="1"/>
    <col min="9993" max="9993" width="11.6640625" style="7" customWidth="1"/>
    <col min="9994" max="10240" width="9.33203125" style="7"/>
    <col min="10241" max="10241" width="7.1640625" style="7" customWidth="1"/>
    <col min="10242" max="10242" width="14.5" style="7" customWidth="1"/>
    <col min="10243" max="10243" width="45.83203125" style="7" customWidth="1"/>
    <col min="10244" max="10244" width="13.6640625" style="7" customWidth="1"/>
    <col min="10245" max="10245" width="13.33203125" style="7" customWidth="1"/>
    <col min="10246" max="10246" width="16.1640625" style="7" customWidth="1"/>
    <col min="10247" max="10247" width="15.1640625" style="7" bestFit="1" customWidth="1"/>
    <col min="10248" max="10248" width="15.83203125" style="7" customWidth="1"/>
    <col min="10249" max="10249" width="11.6640625" style="7" customWidth="1"/>
    <col min="10250" max="10496" width="9.33203125" style="7"/>
    <col min="10497" max="10497" width="7.1640625" style="7" customWidth="1"/>
    <col min="10498" max="10498" width="14.5" style="7" customWidth="1"/>
    <col min="10499" max="10499" width="45.83203125" style="7" customWidth="1"/>
    <col min="10500" max="10500" width="13.6640625" style="7" customWidth="1"/>
    <col min="10501" max="10501" width="13.33203125" style="7" customWidth="1"/>
    <col min="10502" max="10502" width="16.1640625" style="7" customWidth="1"/>
    <col min="10503" max="10503" width="15.1640625" style="7" bestFit="1" customWidth="1"/>
    <col min="10504" max="10504" width="15.83203125" style="7" customWidth="1"/>
    <col min="10505" max="10505" width="11.6640625" style="7" customWidth="1"/>
    <col min="10506" max="10752" width="9.33203125" style="7"/>
    <col min="10753" max="10753" width="7.1640625" style="7" customWidth="1"/>
    <col min="10754" max="10754" width="14.5" style="7" customWidth="1"/>
    <col min="10755" max="10755" width="45.83203125" style="7" customWidth="1"/>
    <col min="10756" max="10756" width="13.6640625" style="7" customWidth="1"/>
    <col min="10757" max="10757" width="13.33203125" style="7" customWidth="1"/>
    <col min="10758" max="10758" width="16.1640625" style="7" customWidth="1"/>
    <col min="10759" max="10759" width="15.1640625" style="7" bestFit="1" customWidth="1"/>
    <col min="10760" max="10760" width="15.83203125" style="7" customWidth="1"/>
    <col min="10761" max="10761" width="11.6640625" style="7" customWidth="1"/>
    <col min="10762" max="11008" width="9.33203125" style="7"/>
    <col min="11009" max="11009" width="7.1640625" style="7" customWidth="1"/>
    <col min="11010" max="11010" width="14.5" style="7" customWidth="1"/>
    <col min="11011" max="11011" width="45.83203125" style="7" customWidth="1"/>
    <col min="11012" max="11012" width="13.6640625" style="7" customWidth="1"/>
    <col min="11013" max="11013" width="13.33203125" style="7" customWidth="1"/>
    <col min="11014" max="11014" width="16.1640625" style="7" customWidth="1"/>
    <col min="11015" max="11015" width="15.1640625" style="7" bestFit="1" customWidth="1"/>
    <col min="11016" max="11016" width="15.83203125" style="7" customWidth="1"/>
    <col min="11017" max="11017" width="11.6640625" style="7" customWidth="1"/>
    <col min="11018" max="11264" width="9.33203125" style="7"/>
    <col min="11265" max="11265" width="7.1640625" style="7" customWidth="1"/>
    <col min="11266" max="11266" width="14.5" style="7" customWidth="1"/>
    <col min="11267" max="11267" width="45.83203125" style="7" customWidth="1"/>
    <col min="11268" max="11268" width="13.6640625" style="7" customWidth="1"/>
    <col min="11269" max="11269" width="13.33203125" style="7" customWidth="1"/>
    <col min="11270" max="11270" width="16.1640625" style="7" customWidth="1"/>
    <col min="11271" max="11271" width="15.1640625" style="7" bestFit="1" customWidth="1"/>
    <col min="11272" max="11272" width="15.83203125" style="7" customWidth="1"/>
    <col min="11273" max="11273" width="11.6640625" style="7" customWidth="1"/>
    <col min="11274" max="11520" width="9.33203125" style="7"/>
    <col min="11521" max="11521" width="7.1640625" style="7" customWidth="1"/>
    <col min="11522" max="11522" width="14.5" style="7" customWidth="1"/>
    <col min="11523" max="11523" width="45.83203125" style="7" customWidth="1"/>
    <col min="11524" max="11524" width="13.6640625" style="7" customWidth="1"/>
    <col min="11525" max="11525" width="13.33203125" style="7" customWidth="1"/>
    <col min="11526" max="11526" width="16.1640625" style="7" customWidth="1"/>
    <col min="11527" max="11527" width="15.1640625" style="7" bestFit="1" customWidth="1"/>
    <col min="11528" max="11528" width="15.83203125" style="7" customWidth="1"/>
    <col min="11529" max="11529" width="11.6640625" style="7" customWidth="1"/>
    <col min="11530" max="11776" width="9.33203125" style="7"/>
    <col min="11777" max="11777" width="7.1640625" style="7" customWidth="1"/>
    <col min="11778" max="11778" width="14.5" style="7" customWidth="1"/>
    <col min="11779" max="11779" width="45.83203125" style="7" customWidth="1"/>
    <col min="11780" max="11780" width="13.6640625" style="7" customWidth="1"/>
    <col min="11781" max="11781" width="13.33203125" style="7" customWidth="1"/>
    <col min="11782" max="11782" width="16.1640625" style="7" customWidth="1"/>
    <col min="11783" max="11783" width="15.1640625" style="7" bestFit="1" customWidth="1"/>
    <col min="11784" max="11784" width="15.83203125" style="7" customWidth="1"/>
    <col min="11785" max="11785" width="11.6640625" style="7" customWidth="1"/>
    <col min="11786" max="12032" width="9.33203125" style="7"/>
    <col min="12033" max="12033" width="7.1640625" style="7" customWidth="1"/>
    <col min="12034" max="12034" width="14.5" style="7" customWidth="1"/>
    <col min="12035" max="12035" width="45.83203125" style="7" customWidth="1"/>
    <col min="12036" max="12036" width="13.6640625" style="7" customWidth="1"/>
    <col min="12037" max="12037" width="13.33203125" style="7" customWidth="1"/>
    <col min="12038" max="12038" width="16.1640625" style="7" customWidth="1"/>
    <col min="12039" max="12039" width="15.1640625" style="7" bestFit="1" customWidth="1"/>
    <col min="12040" max="12040" width="15.83203125" style="7" customWidth="1"/>
    <col min="12041" max="12041" width="11.6640625" style="7" customWidth="1"/>
    <col min="12042" max="12288" width="9.33203125" style="7"/>
    <col min="12289" max="12289" width="7.1640625" style="7" customWidth="1"/>
    <col min="12290" max="12290" width="14.5" style="7" customWidth="1"/>
    <col min="12291" max="12291" width="45.83203125" style="7" customWidth="1"/>
    <col min="12292" max="12292" width="13.6640625" style="7" customWidth="1"/>
    <col min="12293" max="12293" width="13.33203125" style="7" customWidth="1"/>
    <col min="12294" max="12294" width="16.1640625" style="7" customWidth="1"/>
    <col min="12295" max="12295" width="15.1640625" style="7" bestFit="1" customWidth="1"/>
    <col min="12296" max="12296" width="15.83203125" style="7" customWidth="1"/>
    <col min="12297" max="12297" width="11.6640625" style="7" customWidth="1"/>
    <col min="12298" max="12544" width="9.33203125" style="7"/>
    <col min="12545" max="12545" width="7.1640625" style="7" customWidth="1"/>
    <col min="12546" max="12546" width="14.5" style="7" customWidth="1"/>
    <col min="12547" max="12547" width="45.83203125" style="7" customWidth="1"/>
    <col min="12548" max="12548" width="13.6640625" style="7" customWidth="1"/>
    <col min="12549" max="12549" width="13.33203125" style="7" customWidth="1"/>
    <col min="12550" max="12550" width="16.1640625" style="7" customWidth="1"/>
    <col min="12551" max="12551" width="15.1640625" style="7" bestFit="1" customWidth="1"/>
    <col min="12552" max="12552" width="15.83203125" style="7" customWidth="1"/>
    <col min="12553" max="12553" width="11.6640625" style="7" customWidth="1"/>
    <col min="12554" max="12800" width="9.33203125" style="7"/>
    <col min="12801" max="12801" width="7.1640625" style="7" customWidth="1"/>
    <col min="12802" max="12802" width="14.5" style="7" customWidth="1"/>
    <col min="12803" max="12803" width="45.83203125" style="7" customWidth="1"/>
    <col min="12804" max="12804" width="13.6640625" style="7" customWidth="1"/>
    <col min="12805" max="12805" width="13.33203125" style="7" customWidth="1"/>
    <col min="12806" max="12806" width="16.1640625" style="7" customWidth="1"/>
    <col min="12807" max="12807" width="15.1640625" style="7" bestFit="1" customWidth="1"/>
    <col min="12808" max="12808" width="15.83203125" style="7" customWidth="1"/>
    <col min="12809" max="12809" width="11.6640625" style="7" customWidth="1"/>
    <col min="12810" max="13056" width="9.33203125" style="7"/>
    <col min="13057" max="13057" width="7.1640625" style="7" customWidth="1"/>
    <col min="13058" max="13058" width="14.5" style="7" customWidth="1"/>
    <col min="13059" max="13059" width="45.83203125" style="7" customWidth="1"/>
    <col min="13060" max="13060" width="13.6640625" style="7" customWidth="1"/>
    <col min="13061" max="13061" width="13.33203125" style="7" customWidth="1"/>
    <col min="13062" max="13062" width="16.1640625" style="7" customWidth="1"/>
    <col min="13063" max="13063" width="15.1640625" style="7" bestFit="1" customWidth="1"/>
    <col min="13064" max="13064" width="15.83203125" style="7" customWidth="1"/>
    <col min="13065" max="13065" width="11.6640625" style="7" customWidth="1"/>
    <col min="13066" max="13312" width="9.33203125" style="7"/>
    <col min="13313" max="13313" width="7.1640625" style="7" customWidth="1"/>
    <col min="13314" max="13314" width="14.5" style="7" customWidth="1"/>
    <col min="13315" max="13315" width="45.83203125" style="7" customWidth="1"/>
    <col min="13316" max="13316" width="13.6640625" style="7" customWidth="1"/>
    <col min="13317" max="13317" width="13.33203125" style="7" customWidth="1"/>
    <col min="13318" max="13318" width="16.1640625" style="7" customWidth="1"/>
    <col min="13319" max="13319" width="15.1640625" style="7" bestFit="1" customWidth="1"/>
    <col min="13320" max="13320" width="15.83203125" style="7" customWidth="1"/>
    <col min="13321" max="13321" width="11.6640625" style="7" customWidth="1"/>
    <col min="13322" max="13568" width="9.33203125" style="7"/>
    <col min="13569" max="13569" width="7.1640625" style="7" customWidth="1"/>
    <col min="13570" max="13570" width="14.5" style="7" customWidth="1"/>
    <col min="13571" max="13571" width="45.83203125" style="7" customWidth="1"/>
    <col min="13572" max="13572" width="13.6640625" style="7" customWidth="1"/>
    <col min="13573" max="13573" width="13.33203125" style="7" customWidth="1"/>
    <col min="13574" max="13574" width="16.1640625" style="7" customWidth="1"/>
    <col min="13575" max="13575" width="15.1640625" style="7" bestFit="1" customWidth="1"/>
    <col min="13576" max="13576" width="15.83203125" style="7" customWidth="1"/>
    <col min="13577" max="13577" width="11.6640625" style="7" customWidth="1"/>
    <col min="13578" max="13824" width="9.33203125" style="7"/>
    <col min="13825" max="13825" width="7.1640625" style="7" customWidth="1"/>
    <col min="13826" max="13826" width="14.5" style="7" customWidth="1"/>
    <col min="13827" max="13827" width="45.83203125" style="7" customWidth="1"/>
    <col min="13828" max="13828" width="13.6640625" style="7" customWidth="1"/>
    <col min="13829" max="13829" width="13.33203125" style="7" customWidth="1"/>
    <col min="13830" max="13830" width="16.1640625" style="7" customWidth="1"/>
    <col min="13831" max="13831" width="15.1640625" style="7" bestFit="1" customWidth="1"/>
    <col min="13832" max="13832" width="15.83203125" style="7" customWidth="1"/>
    <col min="13833" max="13833" width="11.6640625" style="7" customWidth="1"/>
    <col min="13834" max="14080" width="9.33203125" style="7"/>
    <col min="14081" max="14081" width="7.1640625" style="7" customWidth="1"/>
    <col min="14082" max="14082" width="14.5" style="7" customWidth="1"/>
    <col min="14083" max="14083" width="45.83203125" style="7" customWidth="1"/>
    <col min="14084" max="14084" width="13.6640625" style="7" customWidth="1"/>
    <col min="14085" max="14085" width="13.33203125" style="7" customWidth="1"/>
    <col min="14086" max="14086" width="16.1640625" style="7" customWidth="1"/>
    <col min="14087" max="14087" width="15.1640625" style="7" bestFit="1" customWidth="1"/>
    <col min="14088" max="14088" width="15.83203125" style="7" customWidth="1"/>
    <col min="14089" max="14089" width="11.6640625" style="7" customWidth="1"/>
    <col min="14090" max="14336" width="9.33203125" style="7"/>
    <col min="14337" max="14337" width="7.1640625" style="7" customWidth="1"/>
    <col min="14338" max="14338" width="14.5" style="7" customWidth="1"/>
    <col min="14339" max="14339" width="45.83203125" style="7" customWidth="1"/>
    <col min="14340" max="14340" width="13.6640625" style="7" customWidth="1"/>
    <col min="14341" max="14341" width="13.33203125" style="7" customWidth="1"/>
    <col min="14342" max="14342" width="16.1640625" style="7" customWidth="1"/>
    <col min="14343" max="14343" width="15.1640625" style="7" bestFit="1" customWidth="1"/>
    <col min="14344" max="14344" width="15.83203125" style="7" customWidth="1"/>
    <col min="14345" max="14345" width="11.6640625" style="7" customWidth="1"/>
    <col min="14346" max="14592" width="9.33203125" style="7"/>
    <col min="14593" max="14593" width="7.1640625" style="7" customWidth="1"/>
    <col min="14594" max="14594" width="14.5" style="7" customWidth="1"/>
    <col min="14595" max="14595" width="45.83203125" style="7" customWidth="1"/>
    <col min="14596" max="14596" width="13.6640625" style="7" customWidth="1"/>
    <col min="14597" max="14597" width="13.33203125" style="7" customWidth="1"/>
    <col min="14598" max="14598" width="16.1640625" style="7" customWidth="1"/>
    <col min="14599" max="14599" width="15.1640625" style="7" bestFit="1" customWidth="1"/>
    <col min="14600" max="14600" width="15.83203125" style="7" customWidth="1"/>
    <col min="14601" max="14601" width="11.6640625" style="7" customWidth="1"/>
    <col min="14602" max="14848" width="9.33203125" style="7"/>
    <col min="14849" max="14849" width="7.1640625" style="7" customWidth="1"/>
    <col min="14850" max="14850" width="14.5" style="7" customWidth="1"/>
    <col min="14851" max="14851" width="45.83203125" style="7" customWidth="1"/>
    <col min="14852" max="14852" width="13.6640625" style="7" customWidth="1"/>
    <col min="14853" max="14853" width="13.33203125" style="7" customWidth="1"/>
    <col min="14854" max="14854" width="16.1640625" style="7" customWidth="1"/>
    <col min="14855" max="14855" width="15.1640625" style="7" bestFit="1" customWidth="1"/>
    <col min="14856" max="14856" width="15.83203125" style="7" customWidth="1"/>
    <col min="14857" max="14857" width="11.6640625" style="7" customWidth="1"/>
    <col min="14858" max="15104" width="9.33203125" style="7"/>
    <col min="15105" max="15105" width="7.1640625" style="7" customWidth="1"/>
    <col min="15106" max="15106" width="14.5" style="7" customWidth="1"/>
    <col min="15107" max="15107" width="45.83203125" style="7" customWidth="1"/>
    <col min="15108" max="15108" width="13.6640625" style="7" customWidth="1"/>
    <col min="15109" max="15109" width="13.33203125" style="7" customWidth="1"/>
    <col min="15110" max="15110" width="16.1640625" style="7" customWidth="1"/>
    <col min="15111" max="15111" width="15.1640625" style="7" bestFit="1" customWidth="1"/>
    <col min="15112" max="15112" width="15.83203125" style="7" customWidth="1"/>
    <col min="15113" max="15113" width="11.6640625" style="7" customWidth="1"/>
    <col min="15114" max="15360" width="9.33203125" style="7"/>
    <col min="15361" max="15361" width="7.1640625" style="7" customWidth="1"/>
    <col min="15362" max="15362" width="14.5" style="7" customWidth="1"/>
    <col min="15363" max="15363" width="45.83203125" style="7" customWidth="1"/>
    <col min="15364" max="15364" width="13.6640625" style="7" customWidth="1"/>
    <col min="15365" max="15365" width="13.33203125" style="7" customWidth="1"/>
    <col min="15366" max="15366" width="16.1640625" style="7" customWidth="1"/>
    <col min="15367" max="15367" width="15.1640625" style="7" bestFit="1" customWidth="1"/>
    <col min="15368" max="15368" width="15.83203125" style="7" customWidth="1"/>
    <col min="15369" max="15369" width="11.6640625" style="7" customWidth="1"/>
    <col min="15370" max="15616" width="9.33203125" style="7"/>
    <col min="15617" max="15617" width="7.1640625" style="7" customWidth="1"/>
    <col min="15618" max="15618" width="14.5" style="7" customWidth="1"/>
    <col min="15619" max="15619" width="45.83203125" style="7" customWidth="1"/>
    <col min="15620" max="15620" width="13.6640625" style="7" customWidth="1"/>
    <col min="15621" max="15621" width="13.33203125" style="7" customWidth="1"/>
    <col min="15622" max="15622" width="16.1640625" style="7" customWidth="1"/>
    <col min="15623" max="15623" width="15.1640625" style="7" bestFit="1" customWidth="1"/>
    <col min="15624" max="15624" width="15.83203125" style="7" customWidth="1"/>
    <col min="15625" max="15625" width="11.6640625" style="7" customWidth="1"/>
    <col min="15626" max="15872" width="9.33203125" style="7"/>
    <col min="15873" max="15873" width="7.1640625" style="7" customWidth="1"/>
    <col min="15874" max="15874" width="14.5" style="7" customWidth="1"/>
    <col min="15875" max="15875" width="45.83203125" style="7" customWidth="1"/>
    <col min="15876" max="15876" width="13.6640625" style="7" customWidth="1"/>
    <col min="15877" max="15877" width="13.33203125" style="7" customWidth="1"/>
    <col min="15878" max="15878" width="16.1640625" style="7" customWidth="1"/>
    <col min="15879" max="15879" width="15.1640625" style="7" bestFit="1" customWidth="1"/>
    <col min="15880" max="15880" width="15.83203125" style="7" customWidth="1"/>
    <col min="15881" max="15881" width="11.6640625" style="7" customWidth="1"/>
    <col min="15882" max="16128" width="9.33203125" style="7"/>
    <col min="16129" max="16129" width="7.1640625" style="7" customWidth="1"/>
    <col min="16130" max="16130" width="14.5" style="7" customWidth="1"/>
    <col min="16131" max="16131" width="45.83203125" style="7" customWidth="1"/>
    <col min="16132" max="16132" width="13.6640625" style="7" customWidth="1"/>
    <col min="16133" max="16133" width="13.33203125" style="7" customWidth="1"/>
    <col min="16134" max="16134" width="16.1640625" style="7" customWidth="1"/>
    <col min="16135" max="16135" width="15.1640625" style="7" bestFit="1" customWidth="1"/>
    <col min="16136" max="16136" width="15.83203125" style="7" customWidth="1"/>
    <col min="16137" max="16137" width="11.6640625" style="7" customWidth="1"/>
    <col min="16138" max="16384" width="9.33203125" style="7"/>
  </cols>
  <sheetData>
    <row r="1" spans="1:9" s="48" customFormat="1" x14ac:dyDescent="0.2">
      <c r="A1" s="44"/>
      <c r="B1" s="45"/>
      <c r="C1" s="45"/>
      <c r="D1" s="46"/>
      <c r="E1" s="46"/>
      <c r="F1" s="46"/>
      <c r="G1" s="46"/>
      <c r="H1" s="47"/>
    </row>
    <row r="2" spans="1:9" s="48" customFormat="1" x14ac:dyDescent="0.2">
      <c r="A2" s="44"/>
      <c r="B2" s="49"/>
      <c r="C2" s="50"/>
      <c r="D2" s="51"/>
      <c r="F2" s="285" t="s">
        <v>72</v>
      </c>
      <c r="G2" s="285"/>
      <c r="H2" s="285"/>
    </row>
    <row r="3" spans="1:9" s="48" customFormat="1" x14ac:dyDescent="0.2">
      <c r="A3" s="44"/>
      <c r="B3" s="45"/>
      <c r="C3" s="52"/>
      <c r="F3" s="285" t="s">
        <v>73</v>
      </c>
      <c r="G3" s="285"/>
      <c r="H3" s="285"/>
    </row>
    <row r="4" spans="1:9" s="48" customFormat="1" x14ac:dyDescent="0.2">
      <c r="A4" s="44"/>
      <c r="B4" s="45"/>
      <c r="C4" s="53"/>
      <c r="F4" s="286" t="s">
        <v>74</v>
      </c>
      <c r="G4" s="286"/>
      <c r="H4" s="286"/>
    </row>
    <row r="5" spans="1:9" s="48" customFormat="1" x14ac:dyDescent="0.2">
      <c r="A5" s="44"/>
      <c r="B5" s="45"/>
      <c r="C5" s="284" t="s">
        <v>75</v>
      </c>
      <c r="D5" s="285"/>
      <c r="E5" s="285"/>
      <c r="F5" s="285"/>
    </row>
    <row r="6" spans="1:9" s="48" customFormat="1" x14ac:dyDescent="0.2">
      <c r="A6" s="44"/>
      <c r="B6" s="45"/>
      <c r="C6" s="287" t="s">
        <v>76</v>
      </c>
      <c r="D6" s="288"/>
      <c r="E6" s="288"/>
      <c r="F6" s="288"/>
    </row>
    <row r="7" spans="1:9" s="1" customFormat="1" x14ac:dyDescent="0.2">
      <c r="H7" s="2"/>
    </row>
    <row r="8" spans="1:9" s="1" customFormat="1" ht="12.75" customHeight="1" x14ac:dyDescent="0.2">
      <c r="A8" s="281" t="s">
        <v>216</v>
      </c>
      <c r="B8" s="281"/>
      <c r="C8" s="281"/>
      <c r="D8" s="281"/>
      <c r="E8" s="281"/>
      <c r="F8" s="281"/>
      <c r="G8" s="281"/>
      <c r="H8" s="281"/>
    </row>
    <row r="9" spans="1:9" s="1" customFormat="1" x14ac:dyDescent="0.2">
      <c r="A9" s="3"/>
      <c r="B9" s="279" t="s">
        <v>1</v>
      </c>
      <c r="C9" s="279"/>
      <c r="D9" s="279"/>
      <c r="E9" s="279"/>
      <c r="F9" s="279"/>
      <c r="G9" s="279"/>
    </row>
    <row r="10" spans="1:9" s="1" customFormat="1" x14ac:dyDescent="0.2">
      <c r="A10" s="3"/>
      <c r="B10" s="3"/>
      <c r="C10" s="3"/>
      <c r="D10" s="3"/>
      <c r="E10" s="3"/>
      <c r="F10" s="3"/>
      <c r="G10" s="3"/>
    </row>
    <row r="11" spans="1:9" s="1" customFormat="1" ht="12.75" customHeight="1" x14ac:dyDescent="0.2">
      <c r="A11" s="280" t="s">
        <v>176</v>
      </c>
      <c r="B11" s="280"/>
      <c r="C11" s="280"/>
      <c r="D11" s="280"/>
      <c r="E11" s="280"/>
      <c r="F11" s="280"/>
      <c r="G11" s="280"/>
      <c r="H11" s="4" t="s">
        <v>77</v>
      </c>
      <c r="I11" s="1">
        <f>1000</f>
        <v>1000</v>
      </c>
    </row>
    <row r="12" spans="1:9" s="5" customFormat="1" x14ac:dyDescent="0.2">
      <c r="A12" s="278" t="s">
        <v>3</v>
      </c>
      <c r="B12" s="278" t="s">
        <v>4</v>
      </c>
      <c r="C12" s="278" t="s">
        <v>5</v>
      </c>
      <c r="D12" s="278" t="s">
        <v>6</v>
      </c>
      <c r="E12" s="278"/>
      <c r="F12" s="278"/>
      <c r="G12" s="278"/>
      <c r="H12" s="278" t="s">
        <v>7</v>
      </c>
    </row>
    <row r="13" spans="1:9" s="5" customFormat="1" ht="38.25" x14ac:dyDescent="0.2">
      <c r="A13" s="278"/>
      <c r="B13" s="278"/>
      <c r="C13" s="278"/>
      <c r="D13" s="259" t="s">
        <v>8</v>
      </c>
      <c r="E13" s="259" t="s">
        <v>9</v>
      </c>
      <c r="F13" s="259" t="s">
        <v>10</v>
      </c>
      <c r="G13" s="259" t="s">
        <v>11</v>
      </c>
      <c r="H13" s="278"/>
    </row>
    <row r="14" spans="1:9" s="5" customFormat="1" x14ac:dyDescent="0.2">
      <c r="A14" s="255">
        <v>1</v>
      </c>
      <c r="B14" s="255">
        <v>2</v>
      </c>
      <c r="C14" s="255">
        <v>3</v>
      </c>
      <c r="D14" s="255">
        <v>4</v>
      </c>
      <c r="E14" s="255">
        <v>5</v>
      </c>
      <c r="F14" s="255">
        <v>6</v>
      </c>
      <c r="G14" s="255">
        <v>7</v>
      </c>
      <c r="H14" s="255">
        <v>8</v>
      </c>
    </row>
    <row r="15" spans="1:9" ht="15.75" customHeight="1" x14ac:dyDescent="0.2">
      <c r="A15" s="55" t="s">
        <v>12</v>
      </c>
      <c r="B15" s="56"/>
      <c r="C15" s="56"/>
      <c r="D15" s="56"/>
      <c r="E15" s="56"/>
      <c r="F15" s="56"/>
      <c r="G15" s="56"/>
      <c r="H15" s="56"/>
    </row>
    <row r="16" spans="1:9" s="9" customFormat="1" x14ac:dyDescent="0.2">
      <c r="A16" s="8">
        <v>1</v>
      </c>
      <c r="B16" s="257" t="str">
        <f>'ПРСС без оборуд.'!B23</f>
        <v>ОС 01-01</v>
      </c>
      <c r="C16" s="257" t="str">
        <f>'ПРСС без оборуд.'!C23</f>
        <v>Подготовка территории строительства</v>
      </c>
      <c r="D16" s="116">
        <f>'ПРСС без оборуд.'!D23*$I$11</f>
        <v>109448</v>
      </c>
      <c r="E16" s="116">
        <f>'ПРСС без оборуд.'!E23*$I$11</f>
        <v>0</v>
      </c>
      <c r="F16" s="116">
        <f>'ПРСС без оборуд.'!F23*$I$11</f>
        <v>0</v>
      </c>
      <c r="G16" s="116">
        <f>'ПРСС без оборуд.'!G23*$I$11</f>
        <v>0</v>
      </c>
      <c r="H16" s="117">
        <f>SUM(D16:G16)</f>
        <v>109448</v>
      </c>
    </row>
    <row r="17" spans="1:9" s="9" customFormat="1" hidden="1" outlineLevel="1" x14ac:dyDescent="0.2">
      <c r="A17" s="8">
        <f>A16+1</f>
        <v>2</v>
      </c>
      <c r="B17" s="257">
        <f>'ПРСС без оборуд.'!B24</f>
        <v>0</v>
      </c>
      <c r="C17" s="257">
        <f>'ПРСС без оборуд.'!C24</f>
        <v>0</v>
      </c>
      <c r="D17" s="116">
        <f>'ПРСС без оборуд.'!D24*$I$11</f>
        <v>0</v>
      </c>
      <c r="E17" s="116">
        <f>'ПРСС без оборуд.'!E24*$I$11</f>
        <v>0</v>
      </c>
      <c r="F17" s="116">
        <f>'ПРСС без оборуд.'!F24*$I$11</f>
        <v>0</v>
      </c>
      <c r="G17" s="116">
        <f>'ПРСС без оборуд.'!G24*$I$11</f>
        <v>0</v>
      </c>
      <c r="H17" s="117">
        <f t="shared" ref="H17" si="0">SUM(D17:G17)</f>
        <v>0</v>
      </c>
    </row>
    <row r="18" spans="1:9" s="9" customFormat="1" ht="25.5" collapsed="1" x14ac:dyDescent="0.2">
      <c r="A18" s="8">
        <f>A17+1</f>
        <v>3</v>
      </c>
      <c r="B18" s="257" t="str">
        <f>'ПРСС без оборуд.'!B25</f>
        <v xml:space="preserve">ЛСР 01-03-01 </v>
      </c>
      <c r="C18" s="257" t="str">
        <f>'ПРСС без оборуд.'!C25</f>
        <v>Демонтажные работы. Система электроснабжения</v>
      </c>
      <c r="D18" s="116">
        <f>'ПРСС без оборуд.'!D25*$I$11</f>
        <v>1850</v>
      </c>
      <c r="E18" s="116">
        <f>'ПРСС без оборуд.'!E25*$I$11</f>
        <v>36031</v>
      </c>
      <c r="F18" s="116">
        <f>'ПРСС без оборуд.'!F25*$I$11</f>
        <v>0</v>
      </c>
      <c r="G18" s="116">
        <f>'ПРСС без оборуд.'!G25*$I$11</f>
        <v>0</v>
      </c>
      <c r="H18" s="117">
        <f t="shared" ref="H18" si="1">SUM(D18:G18)</f>
        <v>37881</v>
      </c>
      <c r="I18" s="227"/>
    </row>
    <row r="19" spans="1:9" s="9" customFormat="1" x14ac:dyDescent="0.2">
      <c r="A19" s="10"/>
      <c r="B19" s="11"/>
      <c r="C19" s="11" t="s">
        <v>78</v>
      </c>
      <c r="D19" s="244">
        <f>SUM(D16:D18)</f>
        <v>111298</v>
      </c>
      <c r="E19" s="244">
        <f>SUM(E16:E18)</f>
        <v>36031</v>
      </c>
      <c r="F19" s="244">
        <f t="shared" ref="F19:G19" si="2">SUM(F16:F18)</f>
        <v>0</v>
      </c>
      <c r="G19" s="244">
        <f t="shared" si="2"/>
        <v>0</v>
      </c>
      <c r="H19" s="244">
        <f>SUM(D19:G19)</f>
        <v>147329</v>
      </c>
    </row>
    <row r="20" spans="1:9" s="9" customFormat="1" hidden="1" outlineLevel="1" x14ac:dyDescent="0.2">
      <c r="A20" s="10"/>
      <c r="B20" s="11"/>
      <c r="C20" s="257"/>
      <c r="D20" s="59"/>
      <c r="E20" s="59"/>
      <c r="F20" s="59"/>
      <c r="G20" s="59"/>
      <c r="H20" s="226">
        <f>SUM(D20:G20)</f>
        <v>0</v>
      </c>
    </row>
    <row r="21" spans="1:9" s="9" customFormat="1" hidden="1" outlineLevel="1" x14ac:dyDescent="0.2">
      <c r="A21" s="60"/>
      <c r="B21" s="60"/>
      <c r="C21" s="257"/>
      <c r="D21" s="57"/>
      <c r="E21" s="57"/>
      <c r="F21" s="57"/>
      <c r="G21" s="57"/>
      <c r="H21" s="226">
        <f>SUM(D21:G21)</f>
        <v>0</v>
      </c>
    </row>
    <row r="22" spans="1:9" s="9" customFormat="1" ht="7.5" customHeight="1" collapsed="1" x14ac:dyDescent="0.2">
      <c r="A22" s="245"/>
      <c r="B22" s="246"/>
      <c r="C22" s="246"/>
      <c r="D22" s="247"/>
      <c r="E22" s="247"/>
      <c r="F22" s="247"/>
      <c r="G22" s="247"/>
      <c r="H22" s="248"/>
    </row>
    <row r="23" spans="1:9" ht="15.75" customHeight="1" x14ac:dyDescent="0.2">
      <c r="A23" s="55" t="s">
        <v>14</v>
      </c>
      <c r="B23" s="56"/>
      <c r="C23" s="56"/>
      <c r="D23" s="61"/>
      <c r="E23" s="61"/>
      <c r="F23" s="61"/>
      <c r="G23" s="61"/>
      <c r="H23" s="61"/>
    </row>
    <row r="24" spans="1:9" s="9" customFormat="1" x14ac:dyDescent="0.2">
      <c r="A24" s="8">
        <f>A18+1</f>
        <v>4</v>
      </c>
      <c r="B24" s="257" t="str">
        <f>'ПРСС без оборуд.'!B31</f>
        <v xml:space="preserve">ЛСР 02-04-01 </v>
      </c>
      <c r="C24" s="257" t="str">
        <f>'ПРСС без оборуд.'!C31</f>
        <v>Архитектурно-строительные решения</v>
      </c>
      <c r="D24" s="116">
        <f>'ПРСС без оборуд.'!D31*$I$11</f>
        <v>411089</v>
      </c>
      <c r="E24" s="116">
        <f>'ПРСС без оборуд.'!E31*$I$11</f>
        <v>1036</v>
      </c>
      <c r="F24" s="116">
        <f>'ПРСС без оборуд.'!F31*$I$11</f>
        <v>0</v>
      </c>
      <c r="G24" s="116">
        <f>'ПРСС без оборуд.'!G31*$I$11</f>
        <v>0</v>
      </c>
      <c r="H24" s="117">
        <f t="shared" ref="H24:H32" si="3">SUM(D24:G24)</f>
        <v>412125</v>
      </c>
      <c r="I24" s="227"/>
    </row>
    <row r="25" spans="1:9" s="9" customFormat="1" ht="25.5" x14ac:dyDescent="0.2">
      <c r="A25" s="8">
        <f>A24+1</f>
        <v>5</v>
      </c>
      <c r="B25" s="257" t="str">
        <f>'ПРСС без оборуд.'!B32</f>
        <v>ОС 02-05</v>
      </c>
      <c r="C25" s="257" t="str">
        <f>'ПРСС без оборуд.'!C32</f>
        <v>Приобретение и монтаж оборудования КТПБ</v>
      </c>
      <c r="D25" s="116">
        <f>'ПРСС без оборуд.'!D32*$I$11</f>
        <v>18144</v>
      </c>
      <c r="E25" s="116">
        <f>'ПРСС без оборуд.'!E32*$I$11</f>
        <v>74906</v>
      </c>
      <c r="F25" s="116">
        <f>'ПРСС без оборуд.'!F32*$I$11</f>
        <v>8686574</v>
      </c>
      <c r="G25" s="116">
        <f>'ПРСС без оборуд.'!G32*$I$11</f>
        <v>0</v>
      </c>
      <c r="H25" s="117">
        <f t="shared" si="3"/>
        <v>8779624</v>
      </c>
      <c r="I25" s="227"/>
    </row>
    <row r="26" spans="1:9" s="9" customFormat="1" hidden="1" outlineLevel="1" x14ac:dyDescent="0.2">
      <c r="A26" s="225">
        <f t="shared" ref="A26:A32" si="4">A25+1</f>
        <v>6</v>
      </c>
      <c r="B26" s="257">
        <f>'ПРСС без оборуд.'!B33</f>
        <v>0</v>
      </c>
      <c r="C26" s="257">
        <f>'ПРСС без оборуд.'!C33</f>
        <v>0</v>
      </c>
      <c r="D26" s="116">
        <f>'ПРСС без оборуд.'!D33*$I$11</f>
        <v>0</v>
      </c>
      <c r="E26" s="116">
        <f>'ПРСС без оборуд.'!E33*$I$11</f>
        <v>0</v>
      </c>
      <c r="F26" s="116">
        <f>'ПРСС без оборуд.'!F33*$I$11</f>
        <v>0</v>
      </c>
      <c r="G26" s="116">
        <f>'ПРСС без оборуд.'!G33*$I$11</f>
        <v>0</v>
      </c>
      <c r="H26" s="117">
        <f t="shared" si="3"/>
        <v>0</v>
      </c>
      <c r="I26" s="227"/>
    </row>
    <row r="27" spans="1:9" s="9" customFormat="1" ht="38.25" collapsed="1" x14ac:dyDescent="0.2">
      <c r="A27" s="8">
        <f t="shared" si="4"/>
        <v>7</v>
      </c>
      <c r="B27" s="257" t="str">
        <f>'ПРСС без оборуд.'!B34</f>
        <v>ЛСР 02-06-01</v>
      </c>
      <c r="C27" s="257" t="str">
        <f>'ПРСС без оборуд.'!C34</f>
        <v>Приобретение и монтаж оборудования РЗиА. Вторичная коммутация оборудования. ОПУ</v>
      </c>
      <c r="D27" s="116">
        <f>'ПРСС без оборуд.'!D34*$I$11</f>
        <v>0</v>
      </c>
      <c r="E27" s="116">
        <f>'ПРСС без оборуд.'!E34*$I$11</f>
        <v>898</v>
      </c>
      <c r="F27" s="116">
        <f>'ПРСС без оборуд.'!F34*$I$11</f>
        <v>47568</v>
      </c>
      <c r="G27" s="116">
        <f>'ПРСС без оборуд.'!G34*$I$11</f>
        <v>0</v>
      </c>
      <c r="H27" s="117">
        <f t="shared" si="3"/>
        <v>48466</v>
      </c>
      <c r="I27" s="227"/>
    </row>
    <row r="28" spans="1:9" s="9" customFormat="1" x14ac:dyDescent="0.2">
      <c r="A28" s="8">
        <f t="shared" si="4"/>
        <v>8</v>
      </c>
      <c r="B28" s="257" t="str">
        <f>'ПРСС без оборуд.'!B35</f>
        <v>ОС 02-07</v>
      </c>
      <c r="C28" s="257" t="str">
        <f>'ПРСС без оборуд.'!C35</f>
        <v>Кабельное хозяйство</v>
      </c>
      <c r="D28" s="116">
        <f>'ПРСС без оборуд.'!D35*$I$11</f>
        <v>132212</v>
      </c>
      <c r="E28" s="116">
        <f>'ПРСС без оборуд.'!E35*$I$11</f>
        <v>261031</v>
      </c>
      <c r="F28" s="116">
        <f>'ПРСС без оборуд.'!F35*$I$11</f>
        <v>0</v>
      </c>
      <c r="G28" s="116">
        <f>'ПРСС без оборуд.'!G35*$I$11</f>
        <v>0</v>
      </c>
      <c r="H28" s="117">
        <f t="shared" si="3"/>
        <v>393243</v>
      </c>
      <c r="I28" s="227"/>
    </row>
    <row r="29" spans="1:9" s="9" customFormat="1" hidden="1" outlineLevel="1" x14ac:dyDescent="0.2">
      <c r="A29" s="225">
        <f t="shared" si="4"/>
        <v>9</v>
      </c>
      <c r="B29" s="257">
        <f>'ПРСС без оборуд.'!B36</f>
        <v>0</v>
      </c>
      <c r="C29" s="257">
        <f>'ПРСС без оборуд.'!C36</f>
        <v>0</v>
      </c>
      <c r="D29" s="116">
        <f>'ПРСС без оборуд.'!D36*$I$11</f>
        <v>0</v>
      </c>
      <c r="E29" s="116">
        <f>'ПРСС без оборуд.'!E36*$I$11</f>
        <v>0</v>
      </c>
      <c r="F29" s="116">
        <f>'ПРСС без оборуд.'!F36*$I$11</f>
        <v>0</v>
      </c>
      <c r="G29" s="116">
        <f>'ПРСС без оборуд.'!G36*$I$11</f>
        <v>0</v>
      </c>
      <c r="H29" s="117">
        <f t="shared" si="3"/>
        <v>0</v>
      </c>
      <c r="I29" s="227"/>
    </row>
    <row r="30" spans="1:9" s="9" customFormat="1" hidden="1" outlineLevel="1" x14ac:dyDescent="0.2">
      <c r="A30" s="225">
        <f t="shared" si="4"/>
        <v>10</v>
      </c>
      <c r="B30" s="257">
        <f>'ПРСС без оборуд.'!B37</f>
        <v>0</v>
      </c>
      <c r="C30" s="257">
        <f>'ПРСС без оборуд.'!C37</f>
        <v>0</v>
      </c>
      <c r="D30" s="116">
        <f>'ПРСС без оборуд.'!D37*$I$11</f>
        <v>0</v>
      </c>
      <c r="E30" s="116">
        <f>'ПРСС без оборуд.'!E37*$I$11</f>
        <v>0</v>
      </c>
      <c r="F30" s="116">
        <f>'ПРСС без оборуд.'!F37*$I$11</f>
        <v>0</v>
      </c>
      <c r="G30" s="116">
        <f>'ПРСС без оборуд.'!G37*$I$11</f>
        <v>0</v>
      </c>
      <c r="H30" s="117">
        <f t="shared" si="3"/>
        <v>0</v>
      </c>
      <c r="I30" s="227"/>
    </row>
    <row r="31" spans="1:9" s="9" customFormat="1" hidden="1" outlineLevel="1" x14ac:dyDescent="0.2">
      <c r="A31" s="225">
        <f t="shared" si="4"/>
        <v>11</v>
      </c>
      <c r="B31" s="257">
        <f>'ПРСС без оборуд.'!B38</f>
        <v>0</v>
      </c>
      <c r="C31" s="257">
        <f>'ПРСС без оборуд.'!C38</f>
        <v>0</v>
      </c>
      <c r="D31" s="116">
        <f>'ПРСС без оборуд.'!D38*$I$11</f>
        <v>0</v>
      </c>
      <c r="E31" s="116">
        <f>'ПРСС без оборуд.'!E38*$I$11</f>
        <v>0</v>
      </c>
      <c r="F31" s="116">
        <f>'ПРСС без оборуд.'!F38*$I$11</f>
        <v>0</v>
      </c>
      <c r="G31" s="116">
        <f>'ПРСС без оборуд.'!G38*$I$11</f>
        <v>0</v>
      </c>
      <c r="H31" s="117">
        <f t="shared" si="3"/>
        <v>0</v>
      </c>
      <c r="I31" s="227"/>
    </row>
    <row r="32" spans="1:9" s="9" customFormat="1" hidden="1" outlineLevel="1" x14ac:dyDescent="0.2">
      <c r="A32" s="225">
        <f t="shared" si="4"/>
        <v>12</v>
      </c>
      <c r="B32" s="257">
        <f>'ПРСС без оборуд.'!B39</f>
        <v>0</v>
      </c>
      <c r="C32" s="257">
        <f>'ПРСС без оборуд.'!C39</f>
        <v>0</v>
      </c>
      <c r="D32" s="116">
        <f>'ПРСС без оборуд.'!D39*$I$11</f>
        <v>0</v>
      </c>
      <c r="E32" s="116">
        <f>'ПРСС без оборуд.'!E39*$I$11</f>
        <v>0</v>
      </c>
      <c r="F32" s="116">
        <f>'ПРСС без оборуд.'!F39*$I$11</f>
        <v>0</v>
      </c>
      <c r="G32" s="116">
        <f>'ПРСС без оборуд.'!G39*$I$11</f>
        <v>0</v>
      </c>
      <c r="H32" s="117">
        <f t="shared" si="3"/>
        <v>0</v>
      </c>
      <c r="I32" s="227"/>
    </row>
    <row r="33" spans="1:9" s="9" customFormat="1" collapsed="1" x14ac:dyDescent="0.2">
      <c r="A33" s="10"/>
      <c r="B33" s="11"/>
      <c r="C33" s="11" t="s">
        <v>79</v>
      </c>
      <c r="D33" s="244">
        <f>SUM(D24:D32)</f>
        <v>561445</v>
      </c>
      <c r="E33" s="244">
        <f>SUM(E24:E32)</f>
        <v>337871</v>
      </c>
      <c r="F33" s="244">
        <f>SUM(F24:F32)</f>
        <v>8734142</v>
      </c>
      <c r="G33" s="244">
        <f>SUM(G24:G32)</f>
        <v>0</v>
      </c>
      <c r="H33" s="244">
        <f>SUM(H24:H32)</f>
        <v>9633458</v>
      </c>
    </row>
    <row r="34" spans="1:9" s="9" customFormat="1" hidden="1" outlineLevel="1" x14ac:dyDescent="0.2">
      <c r="A34" s="10"/>
      <c r="B34" s="11"/>
      <c r="C34" s="257"/>
      <c r="D34" s="59"/>
      <c r="E34" s="59"/>
      <c r="F34" s="59"/>
      <c r="G34" s="59"/>
      <c r="H34" s="226">
        <f>SUM(D34:G34)</f>
        <v>0</v>
      </c>
    </row>
    <row r="35" spans="1:9" s="9" customFormat="1" hidden="1" outlineLevel="1" x14ac:dyDescent="0.2">
      <c r="A35" s="60"/>
      <c r="B35" s="60"/>
      <c r="C35" s="257"/>
      <c r="D35" s="57"/>
      <c r="E35" s="57"/>
      <c r="F35" s="57"/>
      <c r="G35" s="57"/>
      <c r="H35" s="226">
        <f>SUM(D35:G35)</f>
        <v>0</v>
      </c>
    </row>
    <row r="36" spans="1:9" s="9" customFormat="1" ht="7.5" customHeight="1" collapsed="1" x14ac:dyDescent="0.2">
      <c r="A36" s="245"/>
      <c r="B36" s="246"/>
      <c r="C36" s="246"/>
      <c r="D36" s="247"/>
      <c r="E36" s="247"/>
      <c r="F36" s="247"/>
      <c r="G36" s="247"/>
      <c r="H36" s="248"/>
    </row>
    <row r="37" spans="1:9" ht="15.75" customHeight="1" x14ac:dyDescent="0.2">
      <c r="A37" s="55" t="s">
        <v>15</v>
      </c>
      <c r="B37" s="56"/>
      <c r="C37" s="56"/>
      <c r="D37" s="61"/>
      <c r="E37" s="61"/>
      <c r="F37" s="61"/>
      <c r="G37" s="61"/>
      <c r="H37" s="61"/>
    </row>
    <row r="38" spans="1:9" s="9" customFormat="1" x14ac:dyDescent="0.2">
      <c r="A38" s="8">
        <f>A29+1</f>
        <v>10</v>
      </c>
      <c r="B38" s="257" t="str">
        <f>'ПРСС без оборуд.'!B45</f>
        <v xml:space="preserve">ЛСР 05-01-01 </v>
      </c>
      <c r="C38" s="257" t="str">
        <f>'ПРСС без оборуд.'!C45</f>
        <v>АИИС КУЭ 2 этап</v>
      </c>
      <c r="D38" s="116">
        <f>'ПРСС без оборуд.'!D45*$I$11</f>
        <v>0</v>
      </c>
      <c r="E38" s="116">
        <f>'ПРСС без оборуд.'!E45*$I$11</f>
        <v>468</v>
      </c>
      <c r="F38" s="116">
        <f>'ПРСС без оборуд.'!F45*$I$11</f>
        <v>16091</v>
      </c>
      <c r="G38" s="116">
        <f>'ПРСС без оборуд.'!G45*$I$11</f>
        <v>0</v>
      </c>
      <c r="H38" s="117">
        <f t="shared" ref="H38:H45" si="5">SUM(D38:G38)</f>
        <v>16559</v>
      </c>
      <c r="I38" s="227"/>
    </row>
    <row r="39" spans="1:9" s="9" customFormat="1" hidden="1" outlineLevel="1" x14ac:dyDescent="0.2">
      <c r="A39" s="8">
        <f t="shared" ref="A39:A45" si="6">A38+1</f>
        <v>11</v>
      </c>
      <c r="B39" s="257">
        <f>'ПРСС без оборуд.'!B46</f>
        <v>0</v>
      </c>
      <c r="C39" s="257">
        <f>'ПРСС без оборуд.'!C46</f>
        <v>0</v>
      </c>
      <c r="D39" s="116">
        <f>'ПРСС без оборуд.'!D46*$I$11</f>
        <v>0</v>
      </c>
      <c r="E39" s="116">
        <f>'ПРСС без оборуд.'!E46*$I$11</f>
        <v>0</v>
      </c>
      <c r="F39" s="116">
        <f>'ПРСС без оборуд.'!F46*$I$11</f>
        <v>0</v>
      </c>
      <c r="G39" s="116">
        <f>'ПРСС без оборуд.'!G46*$I$11</f>
        <v>0</v>
      </c>
      <c r="H39" s="117">
        <f t="shared" si="5"/>
        <v>0</v>
      </c>
      <c r="I39" s="227"/>
    </row>
    <row r="40" spans="1:9" s="9" customFormat="1" collapsed="1" x14ac:dyDescent="0.2">
      <c r="A40" s="8">
        <f>A38+1</f>
        <v>11</v>
      </c>
      <c r="B40" s="257" t="str">
        <f>'ПРСС без оборуд.'!B47</f>
        <v>ЛСР 05-03-01</v>
      </c>
      <c r="C40" s="257" t="str">
        <f>'ПРСС без оборуд.'!C47</f>
        <v>Средства охранного телевидения</v>
      </c>
      <c r="D40" s="116">
        <f>'ПРСС без оборуд.'!D47*$I$11</f>
        <v>529</v>
      </c>
      <c r="E40" s="116">
        <f>'ПРСС без оборуд.'!E47*$I$11</f>
        <v>67173</v>
      </c>
      <c r="F40" s="116">
        <f>'ПРСС без оборуд.'!F47*$I$11</f>
        <v>5371</v>
      </c>
      <c r="G40" s="116">
        <f>'ПРСС без оборуд.'!G47*$I$11</f>
        <v>0</v>
      </c>
      <c r="H40" s="117">
        <f t="shared" si="5"/>
        <v>73073</v>
      </c>
      <c r="I40" s="227"/>
    </row>
    <row r="41" spans="1:9" s="9" customFormat="1" ht="25.5" x14ac:dyDescent="0.2">
      <c r="A41" s="8">
        <f t="shared" si="6"/>
        <v>12</v>
      </c>
      <c r="B41" s="257" t="str">
        <f>'ПРСС без оборуд.'!B48</f>
        <v>ЛСР 05-04-01</v>
      </c>
      <c r="C41" s="257" t="str">
        <f>'ПРСС без оборуд.'!C48</f>
        <v>Средства периметральной охранной сигнализации</v>
      </c>
      <c r="D41" s="116">
        <f>'ПРСС без оборуд.'!D48*$I$11</f>
        <v>99</v>
      </c>
      <c r="E41" s="116">
        <f>'ПРСС без оборуд.'!E48*$I$11</f>
        <v>3598</v>
      </c>
      <c r="F41" s="116">
        <f>'ПРСС без оборуд.'!F48*$I$11</f>
        <v>27002</v>
      </c>
      <c r="G41" s="116">
        <f>'ПРСС без оборуд.'!G48*$I$11</f>
        <v>0</v>
      </c>
      <c r="H41" s="117">
        <f t="shared" si="5"/>
        <v>30699</v>
      </c>
      <c r="I41" s="227"/>
    </row>
    <row r="42" spans="1:9" s="9" customFormat="1" x14ac:dyDescent="0.2">
      <c r="A42" s="8">
        <f t="shared" si="6"/>
        <v>13</v>
      </c>
      <c r="B42" s="257" t="str">
        <f>'ПРСС без оборуд.'!B49</f>
        <v>ЛСР 05-05-01</v>
      </c>
      <c r="C42" s="257" t="str">
        <f>'ПРСС без оборуд.'!C49</f>
        <v>Средства связи</v>
      </c>
      <c r="D42" s="116">
        <f>'ПРСС без оборуд.'!D49*$I$11</f>
        <v>0</v>
      </c>
      <c r="E42" s="116">
        <f>'ПРСС без оборуд.'!E49*$I$11</f>
        <v>2886</v>
      </c>
      <c r="F42" s="116">
        <f>'ПРСС без оборуд.'!F49*$I$11</f>
        <v>1670687</v>
      </c>
      <c r="G42" s="116">
        <f>'ПРСС без оборуд.'!G49*$I$11</f>
        <v>0</v>
      </c>
      <c r="H42" s="117">
        <f t="shared" si="5"/>
        <v>1673573</v>
      </c>
      <c r="I42" s="227"/>
    </row>
    <row r="43" spans="1:9" s="9" customFormat="1" hidden="1" outlineLevel="1" x14ac:dyDescent="0.2">
      <c r="A43" s="8">
        <f t="shared" si="6"/>
        <v>14</v>
      </c>
      <c r="B43" s="257">
        <f>'ПРСС без оборуд.'!B50</f>
        <v>0</v>
      </c>
      <c r="C43" s="257">
        <f>'ПРСС без оборуд.'!C50</f>
        <v>0</v>
      </c>
      <c r="D43" s="116">
        <f>'ПРСС без оборуд.'!D50*$I$11</f>
        <v>0</v>
      </c>
      <c r="E43" s="116">
        <f>'ПРСС без оборуд.'!E50*$I$11</f>
        <v>0</v>
      </c>
      <c r="F43" s="116">
        <f>'ПРСС без оборуд.'!F50*$I$11</f>
        <v>0</v>
      </c>
      <c r="G43" s="116">
        <f>'ПРСС без оборуд.'!G50*$I$11</f>
        <v>0</v>
      </c>
      <c r="H43" s="117">
        <f t="shared" si="5"/>
        <v>0</v>
      </c>
      <c r="I43" s="227"/>
    </row>
    <row r="44" spans="1:9" s="9" customFormat="1" ht="25.5" collapsed="1" x14ac:dyDescent="0.2">
      <c r="A44" s="8">
        <f t="shared" si="6"/>
        <v>15</v>
      </c>
      <c r="B44" s="257" t="str">
        <f>'ПРСС без оборуд.'!B51</f>
        <v>ЛСР 05-07-01</v>
      </c>
      <c r="C44" s="257" t="str">
        <f>'ПРСС без оборуд.'!C51</f>
        <v>Внутриплощадочные проезды и подъездная дорога</v>
      </c>
      <c r="D44" s="116">
        <f>'ПРСС без оборуд.'!D51*$I$11</f>
        <v>81667</v>
      </c>
      <c r="E44" s="116">
        <f>'ПРСС без оборуд.'!E51*$I$11</f>
        <v>0</v>
      </c>
      <c r="F44" s="116">
        <f>'ПРСС без оборуд.'!F51*$I$11</f>
        <v>0</v>
      </c>
      <c r="G44" s="116">
        <f>'ПРСС без оборуд.'!G51*$I$11</f>
        <v>0</v>
      </c>
      <c r="H44" s="117">
        <f t="shared" si="5"/>
        <v>81667</v>
      </c>
      <c r="I44" s="227"/>
    </row>
    <row r="45" spans="1:9" s="9" customFormat="1" hidden="1" outlineLevel="1" x14ac:dyDescent="0.2">
      <c r="A45" s="8">
        <f t="shared" si="6"/>
        <v>16</v>
      </c>
      <c r="B45" s="257">
        <f>'ПРСС без оборуд.'!B52</f>
        <v>0</v>
      </c>
      <c r="C45" s="257">
        <f>'ПРСС без оборуд.'!C52</f>
        <v>0</v>
      </c>
      <c r="D45" s="116">
        <f>'ПРСС без оборуд.'!D52*$I$11</f>
        <v>0</v>
      </c>
      <c r="E45" s="116">
        <f>'ПРСС без оборуд.'!E52*$I$11</f>
        <v>0</v>
      </c>
      <c r="F45" s="116">
        <f>'ПРСС без оборуд.'!F52*$I$11</f>
        <v>0</v>
      </c>
      <c r="G45" s="116">
        <f>'ПРСС без оборуд.'!G52*$I$11</f>
        <v>0</v>
      </c>
      <c r="H45" s="117">
        <f t="shared" si="5"/>
        <v>0</v>
      </c>
      <c r="I45" s="227"/>
    </row>
    <row r="46" spans="1:9" s="9" customFormat="1" collapsed="1" x14ac:dyDescent="0.2">
      <c r="A46" s="10"/>
      <c r="B46" s="11"/>
      <c r="C46" s="11" t="s">
        <v>80</v>
      </c>
      <c r="D46" s="244">
        <f>SUM(D38:D45)</f>
        <v>82295</v>
      </c>
      <c r="E46" s="244">
        <f>SUM(E38:E45)</f>
        <v>74125</v>
      </c>
      <c r="F46" s="244">
        <f>SUM(F38:F45)</f>
        <v>1719151</v>
      </c>
      <c r="G46" s="244">
        <f>SUM(G38:G45)</f>
        <v>0</v>
      </c>
      <c r="H46" s="244">
        <f t="shared" ref="H46" si="7">SUM(D46:G46)</f>
        <v>1875571</v>
      </c>
    </row>
    <row r="47" spans="1:9" s="9" customFormat="1" hidden="1" outlineLevel="1" x14ac:dyDescent="0.2">
      <c r="A47" s="10"/>
      <c r="B47" s="11"/>
      <c r="C47" s="257"/>
      <c r="D47" s="59"/>
      <c r="E47" s="59"/>
      <c r="F47" s="59"/>
      <c r="G47" s="59"/>
      <c r="H47" s="226">
        <f>SUM(D47:G47)</f>
        <v>0</v>
      </c>
    </row>
    <row r="48" spans="1:9" s="9" customFormat="1" hidden="1" outlineLevel="1" x14ac:dyDescent="0.2">
      <c r="A48" s="60"/>
      <c r="B48" s="60"/>
      <c r="C48" s="257"/>
      <c r="D48" s="57"/>
      <c r="E48" s="57"/>
      <c r="F48" s="57"/>
      <c r="G48" s="57"/>
      <c r="H48" s="226">
        <f>SUM(D48:G48)</f>
        <v>0</v>
      </c>
    </row>
    <row r="49" spans="1:11" s="9" customFormat="1" ht="7.5" customHeight="1" collapsed="1" x14ac:dyDescent="0.2">
      <c r="A49" s="245"/>
      <c r="B49" s="246"/>
      <c r="C49" s="246"/>
      <c r="D49" s="247"/>
      <c r="E49" s="247"/>
      <c r="F49" s="247"/>
      <c r="G49" s="247"/>
      <c r="H49" s="248"/>
    </row>
    <row r="50" spans="1:11" s="9" customFormat="1" ht="12.75" customHeight="1" x14ac:dyDescent="0.2">
      <c r="A50" s="55" t="s">
        <v>20</v>
      </c>
      <c r="B50" s="56"/>
      <c r="C50" s="56"/>
      <c r="D50" s="61"/>
      <c r="E50" s="61"/>
      <c r="F50" s="61"/>
      <c r="G50" s="61"/>
      <c r="H50" s="61"/>
    </row>
    <row r="51" spans="1:11" ht="15.75" customHeight="1" x14ac:dyDescent="0.2">
      <c r="A51" s="8">
        <f>A43+1</f>
        <v>15</v>
      </c>
      <c r="B51" s="257" t="str">
        <f>'ПРСС без оборуд.'!B59</f>
        <v>ЛСР 07-01-01</v>
      </c>
      <c r="C51" s="174" t="str">
        <f>'ПРСС без оборуд.'!C59</f>
        <v>Наружное освещение</v>
      </c>
      <c r="D51" s="116">
        <f>'ПРСС без оборуд.'!D59*$I$11</f>
        <v>2470</v>
      </c>
      <c r="E51" s="116">
        <f>'ПРСС без оборуд.'!E59*$I$11</f>
        <v>117667</v>
      </c>
      <c r="F51" s="116">
        <f>'ПРСС без оборуд.'!F59*$I$11</f>
        <v>0</v>
      </c>
      <c r="G51" s="116">
        <f>'ПРСС без оборуд.'!G59*$I$11</f>
        <v>0</v>
      </c>
      <c r="H51" s="117">
        <f t="shared" ref="H51:H58" si="8">SUM(D51:G51)</f>
        <v>120137</v>
      </c>
    </row>
    <row r="52" spans="1:11" ht="15.75" customHeight="1" x14ac:dyDescent="0.2">
      <c r="A52" s="8">
        <f>A51+1</f>
        <v>16</v>
      </c>
      <c r="B52" s="257" t="str">
        <f>'ПРСС без оборуд.'!B60</f>
        <v>ЛСР 07-03-01</v>
      </c>
      <c r="C52" s="174" t="str">
        <f>'ПРСС без оборуд.'!C60</f>
        <v>Покрытие площадки</v>
      </c>
      <c r="D52" s="116">
        <f>'ПРСС без оборуд.'!D60*$I$11</f>
        <v>46313</v>
      </c>
      <c r="E52" s="116">
        <f>'ПРСС без оборуд.'!E60*$I$11</f>
        <v>0</v>
      </c>
      <c r="F52" s="116">
        <f>'ПРСС без оборуд.'!F60*$I$11</f>
        <v>0</v>
      </c>
      <c r="G52" s="116">
        <f>'ПРСС без оборуд.'!G60*$I$11</f>
        <v>0</v>
      </c>
      <c r="H52" s="117">
        <f t="shared" si="8"/>
        <v>46313</v>
      </c>
    </row>
    <row r="53" spans="1:11" s="9" customFormat="1" x14ac:dyDescent="0.2">
      <c r="A53" s="10"/>
      <c r="B53" s="11"/>
      <c r="C53" s="11" t="s">
        <v>13</v>
      </c>
      <c r="D53" s="244">
        <f>SUM(D51:D52)</f>
        <v>48783</v>
      </c>
      <c r="E53" s="244">
        <f>SUM(E51:E52)</f>
        <v>117667</v>
      </c>
      <c r="F53" s="244">
        <f t="shared" ref="F53:G53" si="9">SUM(F51:F52)</f>
        <v>0</v>
      </c>
      <c r="G53" s="244">
        <f t="shared" si="9"/>
        <v>0</v>
      </c>
      <c r="H53" s="244">
        <f t="shared" si="8"/>
        <v>166450</v>
      </c>
    </row>
    <row r="54" spans="1:11" s="9" customFormat="1" hidden="1" outlineLevel="1" x14ac:dyDescent="0.2">
      <c r="A54" s="10"/>
      <c r="B54" s="11"/>
      <c r="C54" s="257"/>
      <c r="D54" s="59"/>
      <c r="E54" s="59"/>
      <c r="F54" s="59"/>
      <c r="G54" s="59"/>
      <c r="H54" s="226">
        <f t="shared" si="8"/>
        <v>0</v>
      </c>
    </row>
    <row r="55" spans="1:11" s="9" customFormat="1" hidden="1" outlineLevel="1" x14ac:dyDescent="0.2">
      <c r="A55" s="60"/>
      <c r="B55" s="60"/>
      <c r="C55" s="257"/>
      <c r="D55" s="57"/>
      <c r="E55" s="57"/>
      <c r="F55" s="57"/>
      <c r="G55" s="57"/>
      <c r="H55" s="226">
        <f t="shared" si="8"/>
        <v>0</v>
      </c>
    </row>
    <row r="56" spans="1:11" s="9" customFormat="1" ht="13.5" collapsed="1" x14ac:dyDescent="0.2">
      <c r="A56" s="10"/>
      <c r="B56" s="11"/>
      <c r="C56" s="232" t="s">
        <v>22</v>
      </c>
      <c r="D56" s="254">
        <f>SUM(D19,D33,D46,D53)</f>
        <v>803821</v>
      </c>
      <c r="E56" s="254">
        <f t="shared" ref="E56:G56" si="10">SUM(E19,E33,E46,E53)</f>
        <v>565694</v>
      </c>
      <c r="F56" s="254">
        <f t="shared" si="10"/>
        <v>10453293</v>
      </c>
      <c r="G56" s="254">
        <f t="shared" si="10"/>
        <v>0</v>
      </c>
      <c r="H56" s="254">
        <f t="shared" si="8"/>
        <v>11822808</v>
      </c>
    </row>
    <row r="57" spans="1:11" s="9" customFormat="1" hidden="1" outlineLevel="1" x14ac:dyDescent="0.2">
      <c r="A57" s="10"/>
      <c r="B57" s="11"/>
      <c r="C57" s="257"/>
      <c r="D57" s="59"/>
      <c r="E57" s="59"/>
      <c r="F57" s="59"/>
      <c r="G57" s="59"/>
      <c r="H57" s="226">
        <f t="shared" si="8"/>
        <v>0</v>
      </c>
    </row>
    <row r="58" spans="1:11" s="9" customFormat="1" hidden="1" outlineLevel="1" x14ac:dyDescent="0.2">
      <c r="A58" s="60"/>
      <c r="B58" s="60"/>
      <c r="C58" s="257"/>
      <c r="D58" s="57"/>
      <c r="E58" s="57"/>
      <c r="F58" s="57"/>
      <c r="G58" s="57"/>
      <c r="H58" s="226">
        <f t="shared" si="8"/>
        <v>0</v>
      </c>
    </row>
    <row r="59" spans="1:11" s="9" customFormat="1" ht="7.5" customHeight="1" collapsed="1" x14ac:dyDescent="0.2">
      <c r="A59" s="245"/>
      <c r="B59" s="246"/>
      <c r="C59" s="246"/>
      <c r="D59" s="247"/>
      <c r="E59" s="247"/>
      <c r="F59" s="247"/>
      <c r="G59" s="247"/>
      <c r="H59" s="248"/>
    </row>
    <row r="60" spans="1:11" s="9" customFormat="1" ht="12.75" customHeight="1" x14ac:dyDescent="0.2">
      <c r="A60" s="55" t="s">
        <v>23</v>
      </c>
      <c r="B60" s="56"/>
      <c r="C60" s="56"/>
      <c r="D60" s="61"/>
      <c r="E60" s="61"/>
      <c r="F60" s="61"/>
      <c r="G60" s="61"/>
      <c r="H60" s="61"/>
    </row>
    <row r="61" spans="1:11" s="9" customFormat="1" ht="38.25" x14ac:dyDescent="0.2">
      <c r="A61" s="8">
        <f>A51+1</f>
        <v>16</v>
      </c>
      <c r="B61" s="257" t="str">
        <f>'ПРСС без оборуд.'!B69</f>
        <v>ГСН 81-05-01-2001 п. 2.1, прил. 1 п. 2.6</v>
      </c>
      <c r="C61" s="257" t="str">
        <f>'ПРСС без оборуд.'!C69</f>
        <v>Временные здания и сооружения - 3,9%*0,8=3,12% ПС 110/35/6 кВ</v>
      </c>
      <c r="D61" s="116">
        <f>D56*3.12%</f>
        <v>25079.22</v>
      </c>
      <c r="E61" s="116">
        <f>E56*3.12%</f>
        <v>17649.650000000001</v>
      </c>
      <c r="F61" s="117"/>
      <c r="G61" s="117"/>
      <c r="H61" s="117">
        <f t="shared" ref="H61:H67" si="11">SUM(D61:G61)</f>
        <v>42728.87</v>
      </c>
      <c r="I61" s="229">
        <f>'ПРСС без оборуд.'!H69*1000-H61</f>
        <v>0</v>
      </c>
      <c r="J61" s="62"/>
      <c r="K61" s="62"/>
    </row>
    <row r="62" spans="1:11" s="9" customFormat="1" x14ac:dyDescent="0.2">
      <c r="A62" s="10"/>
      <c r="B62" s="11"/>
      <c r="C62" s="11" t="s">
        <v>81</v>
      </c>
      <c r="D62" s="244">
        <f>SUM(D61)</f>
        <v>25079.22</v>
      </c>
      <c r="E62" s="244">
        <f>SUM(E61)</f>
        <v>17649.650000000001</v>
      </c>
      <c r="F62" s="244"/>
      <c r="G62" s="244"/>
      <c r="H62" s="244">
        <f t="shared" si="11"/>
        <v>42728.87</v>
      </c>
      <c r="I62" s="229">
        <f>'ПРСС без оборуд.'!H70*1000-H62</f>
        <v>0</v>
      </c>
    </row>
    <row r="63" spans="1:11" s="9" customFormat="1" hidden="1" outlineLevel="1" x14ac:dyDescent="0.2">
      <c r="A63" s="10"/>
      <c r="B63" s="11"/>
      <c r="C63" s="257"/>
      <c r="D63" s="59"/>
      <c r="E63" s="59"/>
      <c r="F63" s="59"/>
      <c r="G63" s="59"/>
      <c r="H63" s="226">
        <f t="shared" si="11"/>
        <v>0</v>
      </c>
    </row>
    <row r="64" spans="1:11" s="9" customFormat="1" hidden="1" outlineLevel="1" x14ac:dyDescent="0.2">
      <c r="A64" s="60"/>
      <c r="B64" s="60"/>
      <c r="C64" s="257"/>
      <c r="D64" s="57"/>
      <c r="E64" s="57"/>
      <c r="F64" s="57"/>
      <c r="G64" s="57"/>
      <c r="H64" s="226">
        <f t="shared" si="11"/>
        <v>0</v>
      </c>
    </row>
    <row r="65" spans="1:9" ht="15.75" customHeight="1" collapsed="1" x14ac:dyDescent="0.2">
      <c r="A65" s="10"/>
      <c r="B65" s="11"/>
      <c r="C65" s="232" t="s">
        <v>26</v>
      </c>
      <c r="D65" s="254">
        <f>SUM(D56,D62)</f>
        <v>828900.22</v>
      </c>
      <c r="E65" s="254">
        <f t="shared" ref="E65:G65" si="12">SUM(E56,E62)</f>
        <v>583343.65</v>
      </c>
      <c r="F65" s="254">
        <f t="shared" si="12"/>
        <v>10453293</v>
      </c>
      <c r="G65" s="254">
        <f t="shared" si="12"/>
        <v>0</v>
      </c>
      <c r="H65" s="254">
        <f t="shared" si="11"/>
        <v>11865536.869999999</v>
      </c>
    </row>
    <row r="66" spans="1:9" s="9" customFormat="1" hidden="1" outlineLevel="1" x14ac:dyDescent="0.2">
      <c r="A66" s="10"/>
      <c r="B66" s="11"/>
      <c r="C66" s="257"/>
      <c r="D66" s="59"/>
      <c r="E66" s="59"/>
      <c r="F66" s="59"/>
      <c r="G66" s="59"/>
      <c r="H66" s="226">
        <f t="shared" si="11"/>
        <v>0</v>
      </c>
    </row>
    <row r="67" spans="1:9" s="9" customFormat="1" hidden="1" outlineLevel="1" x14ac:dyDescent="0.2">
      <c r="A67" s="60"/>
      <c r="B67" s="60"/>
      <c r="C67" s="257"/>
      <c r="D67" s="57"/>
      <c r="E67" s="57"/>
      <c r="F67" s="57"/>
      <c r="G67" s="57"/>
      <c r="H67" s="226">
        <f t="shared" si="11"/>
        <v>0</v>
      </c>
    </row>
    <row r="68" spans="1:9" s="9" customFormat="1" ht="7.5" customHeight="1" collapsed="1" x14ac:dyDescent="0.2">
      <c r="A68" s="245"/>
      <c r="B68" s="246"/>
      <c r="C68" s="246"/>
      <c r="D68" s="247"/>
      <c r="E68" s="247"/>
      <c r="F68" s="247"/>
      <c r="G68" s="247"/>
      <c r="H68" s="248"/>
    </row>
    <row r="69" spans="1:9" s="9" customFormat="1" ht="12.75" customHeight="1" x14ac:dyDescent="0.2">
      <c r="A69" s="55" t="s">
        <v>27</v>
      </c>
      <c r="B69" s="56"/>
      <c r="C69" s="56"/>
      <c r="D69" s="61"/>
      <c r="E69" s="61"/>
      <c r="F69" s="61"/>
      <c r="G69" s="61"/>
      <c r="H69" s="61"/>
    </row>
    <row r="70" spans="1:9" s="9" customFormat="1" ht="51" x14ac:dyDescent="0.2">
      <c r="A70" s="8">
        <f>A61+1</f>
        <v>17</v>
      </c>
      <c r="B70" s="257" t="str">
        <f>'ПРСС без оборуд.'!B78</f>
        <v>ГСН-81-05-02-2007 табл. 4 п. 2.4, прил. 1 п. 84б</v>
      </c>
      <c r="C70" s="12" t="str">
        <f>'ПРСС без оборуд.'!C78</f>
        <v>Производство работ в зимнее время - 4,3% * 1,1 = 4,73% ПС 110/35/6 кВ</v>
      </c>
      <c r="D70" s="116">
        <f>D65*4.73%</f>
        <v>39206.980000000003</v>
      </c>
      <c r="E70" s="116">
        <f>E65*4.73%</f>
        <v>27592.15</v>
      </c>
      <c r="F70" s="117"/>
      <c r="G70" s="117"/>
      <c r="H70" s="117">
        <f t="shared" ref="H70:H74" si="13">SUM(D70:G70)</f>
        <v>66799.13</v>
      </c>
      <c r="I70" s="229">
        <f>'ПРСС без оборуд.'!H78*1000-H70</f>
        <v>0</v>
      </c>
    </row>
    <row r="71" spans="1:9" s="9" customFormat="1" ht="25.5" x14ac:dyDescent="0.2">
      <c r="A71" s="8">
        <f>A70+1</f>
        <v>18</v>
      </c>
      <c r="B71" s="257" t="str">
        <f>'ПРСС без оборуд.'!B79</f>
        <v>ГСН 81-05-02-2007 табл. 2</v>
      </c>
      <c r="C71" s="12" t="str">
        <f>'ПРСС без оборуд.'!C79</f>
        <v>Снегоборьба - 0,4% ПС 110/35/6 кВ</v>
      </c>
      <c r="D71" s="116">
        <f>D65*0.4%</f>
        <v>3315.6</v>
      </c>
      <c r="E71" s="116">
        <f>E65*0.4%</f>
        <v>2333.37</v>
      </c>
      <c r="F71" s="117"/>
      <c r="G71" s="117"/>
      <c r="H71" s="117">
        <f t="shared" si="13"/>
        <v>5648.97</v>
      </c>
      <c r="I71" s="229">
        <f>'ПРСС без оборуд.'!H79*1000-H71</f>
        <v>0</v>
      </c>
    </row>
    <row r="72" spans="1:9" s="9" customFormat="1" hidden="1" outlineLevel="1" x14ac:dyDescent="0.2">
      <c r="A72" s="8">
        <f>A71+1</f>
        <v>19</v>
      </c>
      <c r="B72" s="257" t="e">
        <f>'ПРСС без оборуд.'!B80</f>
        <v>#REF!</v>
      </c>
      <c r="C72" s="174" t="e">
        <f>'ПРСС без оборуд.'!C80</f>
        <v>#REF!</v>
      </c>
      <c r="D72" s="116">
        <f>'ПРСС без оборуд.'!D80*$I$11</f>
        <v>0</v>
      </c>
      <c r="E72" s="116">
        <f>'ПРСС без оборуд.'!E80*$I$11</f>
        <v>0</v>
      </c>
      <c r="F72" s="116">
        <f>'ПРСС без оборуд.'!F80*$I$11</f>
        <v>0</v>
      </c>
      <c r="G72" s="116">
        <f>'ПРСС без оборуд.'!G80*$I$11</f>
        <v>0</v>
      </c>
      <c r="H72" s="117">
        <f t="shared" si="13"/>
        <v>0</v>
      </c>
    </row>
    <row r="73" spans="1:9" s="9" customFormat="1" collapsed="1" x14ac:dyDescent="0.2">
      <c r="A73" s="8">
        <f>A71+1</f>
        <v>19</v>
      </c>
      <c r="B73" s="257" t="str">
        <f>'ПРСС без оборуд.'!B81</f>
        <v>ЛСР 09-02-01</v>
      </c>
      <c r="C73" s="174" t="str">
        <f>'ПРСС без оборуд.'!C81</f>
        <v>Пусконаладочные работы</v>
      </c>
      <c r="D73" s="116">
        <f>'ПРСС без оборуд.'!D81*$I$11</f>
        <v>0</v>
      </c>
      <c r="E73" s="116">
        <f>'ПРСС без оборуд.'!E81*$I$11</f>
        <v>0</v>
      </c>
      <c r="F73" s="116">
        <f>'ПРСС без оборуд.'!F81*$I$11</f>
        <v>0</v>
      </c>
      <c r="G73" s="116">
        <f>'ПРСС без оборуд.'!G81*$I$11</f>
        <v>155156</v>
      </c>
      <c r="H73" s="117">
        <f t="shared" si="13"/>
        <v>155156</v>
      </c>
    </row>
    <row r="74" spans="1:9" s="9" customFormat="1" x14ac:dyDescent="0.2">
      <c r="A74" s="8">
        <f>A73+1</f>
        <v>20</v>
      </c>
      <c r="B74" s="257" t="str">
        <f>'ПРСС без оборуд.'!B82</f>
        <v>Расчет № 3</v>
      </c>
      <c r="C74" s="174" t="str">
        <f>'ПРСС без оборуд.'!C82</f>
        <v>Ежедневная перевозка рабочих</v>
      </c>
      <c r="D74" s="116">
        <f>'ПРСС без оборуд.'!D82*$I$11</f>
        <v>0</v>
      </c>
      <c r="E74" s="116">
        <f>'ПРСС без оборуд.'!E82*$I$11</f>
        <v>0</v>
      </c>
      <c r="F74" s="116">
        <f>'ПРСС без оборуд.'!F82*$I$11</f>
        <v>0</v>
      </c>
      <c r="G74" s="116">
        <f>'ПРСС без оборуд.'!G82*$I$11</f>
        <v>975</v>
      </c>
      <c r="H74" s="117">
        <f t="shared" si="13"/>
        <v>975</v>
      </c>
    </row>
    <row r="75" spans="1:9" s="9" customFormat="1" x14ac:dyDescent="0.2">
      <c r="A75" s="8">
        <f>A74+1</f>
        <v>21</v>
      </c>
      <c r="B75" s="257" t="str">
        <f>'ПРСС без оборуд.'!B83</f>
        <v>Расчет № 4</v>
      </c>
      <c r="C75" s="257" t="str">
        <f>'ПРСС без оборуд.'!C83</f>
        <v>Вахтовая доставка</v>
      </c>
      <c r="D75" s="116">
        <f>'ПРСС без оборуд.'!D83*$I$11</f>
        <v>0</v>
      </c>
      <c r="E75" s="116">
        <f>'ПРСС без оборуд.'!E83*$I$11</f>
        <v>0</v>
      </c>
      <c r="F75" s="116">
        <f>'ПРСС без оборуд.'!F83*$I$11</f>
        <v>0</v>
      </c>
      <c r="G75" s="116">
        <f>'ПРСС без оборуд.'!G83*$I$11</f>
        <v>975</v>
      </c>
      <c r="H75" s="58">
        <f t="shared" ref="H75:H76" si="14">SUM(D75:G75)</f>
        <v>975</v>
      </c>
    </row>
    <row r="76" spans="1:9" s="9" customFormat="1" x14ac:dyDescent="0.2">
      <c r="A76" s="10"/>
      <c r="B76" s="11"/>
      <c r="C76" s="11" t="s">
        <v>82</v>
      </c>
      <c r="D76" s="244">
        <f>SUM(D70:D75)</f>
        <v>42522.58</v>
      </c>
      <c r="E76" s="244">
        <f>SUM(E70:E75)</f>
        <v>29925.52</v>
      </c>
      <c r="F76" s="244">
        <f>SUM(F70:F75)</f>
        <v>0</v>
      </c>
      <c r="G76" s="244">
        <f>SUM(G70:G75)</f>
        <v>157106</v>
      </c>
      <c r="H76" s="244">
        <f t="shared" si="14"/>
        <v>229554.1</v>
      </c>
      <c r="I76" s="229">
        <f>'ПРСС без оборуд.'!H84*1000-H76</f>
        <v>0</v>
      </c>
    </row>
    <row r="77" spans="1:9" s="9" customFormat="1" hidden="1" outlineLevel="1" x14ac:dyDescent="0.2">
      <c r="A77" s="10"/>
      <c r="B77" s="11"/>
      <c r="C77" s="257"/>
      <c r="D77" s="59"/>
      <c r="E77" s="59"/>
      <c r="F77" s="59"/>
      <c r="G77" s="59"/>
      <c r="H77" s="226">
        <f>SUM(D77:G77)</f>
        <v>0</v>
      </c>
    </row>
    <row r="78" spans="1:9" s="9" customFormat="1" hidden="1" outlineLevel="1" x14ac:dyDescent="0.2">
      <c r="A78" s="60"/>
      <c r="B78" s="60"/>
      <c r="C78" s="257"/>
      <c r="D78" s="57"/>
      <c r="E78" s="57"/>
      <c r="F78" s="57"/>
      <c r="G78" s="57"/>
      <c r="H78" s="226">
        <f>SUM(D78:G78)</f>
        <v>0</v>
      </c>
    </row>
    <row r="79" spans="1:9" s="9" customFormat="1" ht="13.5" collapsed="1" x14ac:dyDescent="0.2">
      <c r="A79" s="10"/>
      <c r="B79" s="11"/>
      <c r="C79" s="11" t="s">
        <v>34</v>
      </c>
      <c r="D79" s="254">
        <f>SUM(D65,D76)</f>
        <v>871422.8</v>
      </c>
      <c r="E79" s="254">
        <f t="shared" ref="E79:G79" si="15">SUM(E65,E76)</f>
        <v>613269.17000000004</v>
      </c>
      <c r="F79" s="254">
        <f t="shared" si="15"/>
        <v>10453293</v>
      </c>
      <c r="G79" s="254">
        <f t="shared" si="15"/>
        <v>157106</v>
      </c>
      <c r="H79" s="254">
        <f>SUM(D79:G79)</f>
        <v>12095090.970000001</v>
      </c>
      <c r="I79" s="63">
        <f>H65+H76-H79</f>
        <v>0</v>
      </c>
    </row>
    <row r="80" spans="1:9" s="9" customFormat="1" hidden="1" outlineLevel="1" x14ac:dyDescent="0.2">
      <c r="A80" s="10"/>
      <c r="B80" s="11"/>
      <c r="C80" s="257"/>
      <c r="D80" s="59"/>
      <c r="E80" s="59"/>
      <c r="F80" s="59"/>
      <c r="G80" s="59"/>
      <c r="H80" s="226">
        <f>SUM(D80:G80)</f>
        <v>0</v>
      </c>
    </row>
    <row r="81" spans="1:19" s="9" customFormat="1" hidden="1" outlineLevel="1" x14ac:dyDescent="0.2">
      <c r="A81" s="60"/>
      <c r="B81" s="60"/>
      <c r="C81" s="257"/>
      <c r="D81" s="57"/>
      <c r="E81" s="57"/>
      <c r="F81" s="57"/>
      <c r="G81" s="57"/>
      <c r="H81" s="226">
        <f>SUM(D81:G81)</f>
        <v>0</v>
      </c>
    </row>
    <row r="82" spans="1:19" s="9" customFormat="1" ht="7.5" customHeight="1" collapsed="1" x14ac:dyDescent="0.2">
      <c r="A82" s="245"/>
      <c r="B82" s="246"/>
      <c r="C82" s="246"/>
      <c r="D82" s="247"/>
      <c r="E82" s="247"/>
      <c r="F82" s="247"/>
      <c r="G82" s="247"/>
      <c r="H82" s="248"/>
    </row>
    <row r="83" spans="1:19" s="9" customFormat="1" ht="25.5" x14ac:dyDescent="0.2">
      <c r="A83" s="8">
        <f>A73+1</f>
        <v>20</v>
      </c>
      <c r="B83" s="257" t="s">
        <v>40</v>
      </c>
      <c r="C83" s="257" t="s">
        <v>170</v>
      </c>
      <c r="D83" s="57">
        <f>ROUND(D79*1.5%,0)</f>
        <v>13071</v>
      </c>
      <c r="E83" s="57">
        <f>ROUND(E79*1.5%,0)</f>
        <v>9199</v>
      </c>
      <c r="F83" s="57">
        <f>ROUND(F79*1.5%,0)</f>
        <v>156799</v>
      </c>
      <c r="G83" s="57">
        <f>ROUND(G79*1.5%,0)-0.001</f>
        <v>2357</v>
      </c>
      <c r="H83" s="57">
        <f>SUM(D83:G83)</f>
        <v>181426</v>
      </c>
      <c r="I83" s="64"/>
    </row>
    <row r="84" spans="1:19" s="9" customFormat="1" x14ac:dyDescent="0.2">
      <c r="A84" s="10"/>
      <c r="B84" s="11"/>
      <c r="C84" s="11" t="s">
        <v>83</v>
      </c>
      <c r="D84" s="59">
        <f>D83+D79</f>
        <v>884493.8</v>
      </c>
      <c r="E84" s="59">
        <f>E83+E79</f>
        <v>622468.17000000004</v>
      </c>
      <c r="F84" s="59">
        <f>F83+F79</f>
        <v>10610092</v>
      </c>
      <c r="G84" s="59">
        <f>G83+G79</f>
        <v>159463</v>
      </c>
      <c r="H84" s="59">
        <f>H83+H79</f>
        <v>12276516.970000001</v>
      </c>
      <c r="I84" s="65">
        <f>ROUND(H79*1.015,0)-H84</f>
        <v>0.03</v>
      </c>
    </row>
    <row r="85" spans="1:19" s="9" customFormat="1" ht="7.5" customHeight="1" x14ac:dyDescent="0.2">
      <c r="A85" s="245"/>
      <c r="B85" s="246"/>
      <c r="C85" s="246"/>
      <c r="D85" s="247"/>
      <c r="E85" s="247"/>
      <c r="F85" s="247"/>
      <c r="G85" s="247"/>
      <c r="H85" s="248"/>
    </row>
    <row r="86" spans="1:19" s="48" customFormat="1" ht="60" x14ac:dyDescent="0.2">
      <c r="A86" s="85"/>
      <c r="B86" s="86"/>
      <c r="C86" s="87" t="s">
        <v>99</v>
      </c>
      <c r="D86" s="88" t="s">
        <v>100</v>
      </c>
      <c r="E86" s="88" t="s">
        <v>100</v>
      </c>
      <c r="F86" s="88" t="s">
        <v>100</v>
      </c>
      <c r="G86" s="88" t="s">
        <v>100</v>
      </c>
      <c r="H86" s="88" t="s">
        <v>100</v>
      </c>
      <c r="I86" s="90"/>
      <c r="J86" s="91"/>
      <c r="L86" s="92"/>
    </row>
    <row r="87" spans="1:19" s="48" customFormat="1" ht="15" x14ac:dyDescent="0.2">
      <c r="A87" s="85">
        <f>A83+1</f>
        <v>21</v>
      </c>
      <c r="B87" s="93"/>
      <c r="C87" s="94" t="s">
        <v>101</v>
      </c>
      <c r="D87" s="95" t="s">
        <v>100</v>
      </c>
      <c r="E87" s="95" t="s">
        <v>100</v>
      </c>
      <c r="F87" s="95" t="s">
        <v>100</v>
      </c>
      <c r="G87" s="95" t="s">
        <v>100</v>
      </c>
      <c r="H87" s="95" t="s">
        <v>100</v>
      </c>
      <c r="I87" s="97"/>
      <c r="J87" s="98"/>
      <c r="K87" s="51"/>
      <c r="L87" s="99"/>
      <c r="M87" s="51"/>
      <c r="N87" s="51"/>
      <c r="O87" s="51"/>
      <c r="P87" s="51"/>
      <c r="Q87" s="51"/>
      <c r="R87" s="51"/>
      <c r="S87" s="51"/>
    </row>
    <row r="88" spans="1:19" s="104" customFormat="1" ht="30" x14ac:dyDescent="0.2">
      <c r="A88" s="100"/>
      <c r="B88" s="101"/>
      <c r="C88" s="87" t="s">
        <v>102</v>
      </c>
      <c r="D88" s="88" t="s">
        <v>100</v>
      </c>
      <c r="E88" s="88" t="s">
        <v>100</v>
      </c>
      <c r="F88" s="88" t="s">
        <v>100</v>
      </c>
      <c r="G88" s="88" t="s">
        <v>100</v>
      </c>
      <c r="H88" s="88" t="s">
        <v>100</v>
      </c>
      <c r="I88" s="97"/>
      <c r="J88" s="102"/>
      <c r="K88" s="51"/>
      <c r="L88" s="99"/>
      <c r="M88" s="103"/>
      <c r="N88" s="103"/>
      <c r="O88" s="103"/>
      <c r="P88" s="103"/>
      <c r="Q88" s="103"/>
      <c r="R88" s="103"/>
      <c r="S88" s="103"/>
    </row>
    <row r="89" spans="1:19" s="9" customFormat="1" x14ac:dyDescent="0.2">
      <c r="A89" s="105"/>
      <c r="B89" s="105"/>
      <c r="C89" s="105"/>
      <c r="D89" s="106"/>
      <c r="E89" s="106"/>
      <c r="F89" s="106"/>
      <c r="G89" s="107"/>
      <c r="H89" s="106"/>
      <c r="I89" s="108"/>
    </row>
    <row r="90" spans="1:19" s="9" customFormat="1" x14ac:dyDescent="0.2">
      <c r="A90" s="105"/>
      <c r="B90" s="105"/>
      <c r="C90" s="105"/>
      <c r="D90" s="106"/>
      <c r="E90" s="106"/>
      <c r="F90" s="106"/>
      <c r="G90" s="107"/>
      <c r="H90" s="106"/>
      <c r="I90" s="108"/>
    </row>
    <row r="91" spans="1:19" s="9" customFormat="1" x14ac:dyDescent="0.2">
      <c r="A91" s="105"/>
      <c r="B91" s="105"/>
      <c r="C91" s="105"/>
      <c r="D91" s="106"/>
      <c r="E91" s="106"/>
      <c r="F91" s="106"/>
      <c r="G91" s="107"/>
      <c r="H91" s="106"/>
      <c r="I91" s="108"/>
    </row>
    <row r="92" spans="1:19" s="48" customFormat="1" x14ac:dyDescent="0.2">
      <c r="A92" s="44"/>
      <c r="B92" s="109" t="s">
        <v>103</v>
      </c>
      <c r="C92" s="110"/>
      <c r="G92" s="104" t="s">
        <v>104</v>
      </c>
      <c r="H92" s="51"/>
      <c r="I92" s="98"/>
      <c r="J92" s="111"/>
    </row>
    <row r="93" spans="1:19" s="48" customFormat="1" x14ac:dyDescent="0.2">
      <c r="A93" s="44"/>
      <c r="B93" s="112" t="s">
        <v>105</v>
      </c>
      <c r="C93" s="113"/>
      <c r="I93" s="114"/>
      <c r="J93" s="115"/>
    </row>
  </sheetData>
  <mergeCells count="13">
    <mergeCell ref="A8:H8"/>
    <mergeCell ref="F2:H2"/>
    <mergeCell ref="F3:H3"/>
    <mergeCell ref="F4:H4"/>
    <mergeCell ref="C5:F5"/>
    <mergeCell ref="C6:F6"/>
    <mergeCell ref="H12:H13"/>
    <mergeCell ref="B9:G9"/>
    <mergeCell ref="A11:G11"/>
    <mergeCell ref="A12:A13"/>
    <mergeCell ref="B12:B13"/>
    <mergeCell ref="C12:C13"/>
    <mergeCell ref="D12:G12"/>
  </mergeCells>
  <conditionalFormatting sqref="B51:B52">
    <cfRule type="cellIs" dxfId="21" priority="32" operator="equal">
      <formula>0</formula>
    </cfRule>
    <cfRule type="cellIs" dxfId="20" priority="33" operator="equal">
      <formula>0</formula>
    </cfRule>
  </conditionalFormatting>
  <conditionalFormatting sqref="B70:B75">
    <cfRule type="cellIs" dxfId="19" priority="30" operator="equal">
      <formula>0</formula>
    </cfRule>
    <cfRule type="cellIs" dxfId="18" priority="31" operator="equal">
      <formula>0</formula>
    </cfRule>
  </conditionalFormatting>
  <conditionalFormatting sqref="B24:C32">
    <cfRule type="cellIs" dxfId="17" priority="16" operator="equal">
      <formula>0</formula>
    </cfRule>
  </conditionalFormatting>
  <conditionalFormatting sqref="B16:B18">
    <cfRule type="cellIs" dxfId="16" priority="21" operator="equal">
      <formula>0</formula>
    </cfRule>
    <cfRule type="cellIs" dxfId="15" priority="22" operator="equal">
      <formula>0</formula>
    </cfRule>
  </conditionalFormatting>
  <conditionalFormatting sqref="B16:C18">
    <cfRule type="cellIs" dxfId="14" priority="20" operator="equal">
      <formula>0</formula>
    </cfRule>
  </conditionalFormatting>
  <conditionalFormatting sqref="C20:C21">
    <cfRule type="cellIs" dxfId="13" priority="19" operator="equal">
      <formula>0</formula>
    </cfRule>
  </conditionalFormatting>
  <conditionalFormatting sqref="C34:C35">
    <cfRule type="cellIs" dxfId="12" priority="15" operator="equal">
      <formula>0</formula>
    </cfRule>
  </conditionalFormatting>
  <conditionalFormatting sqref="B24:B32">
    <cfRule type="cellIs" dxfId="11" priority="17" operator="equal">
      <formula>0</formula>
    </cfRule>
    <cfRule type="cellIs" dxfId="10" priority="18" operator="equal">
      <formula>0</formula>
    </cfRule>
  </conditionalFormatting>
  <conditionalFormatting sqref="B38:B45">
    <cfRule type="cellIs" dxfId="9" priority="9" operator="equal">
      <formula>0</formula>
    </cfRule>
    <cfRule type="cellIs" dxfId="8" priority="10" operator="equal">
      <formula>0</formula>
    </cfRule>
  </conditionalFormatting>
  <conditionalFormatting sqref="B38:C45">
    <cfRule type="cellIs" dxfId="7" priority="8" operator="equal">
      <formula>0</formula>
    </cfRule>
  </conditionalFormatting>
  <conditionalFormatting sqref="C47:C48">
    <cfRule type="cellIs" dxfId="6" priority="7" operator="equal">
      <formula>0</formula>
    </cfRule>
  </conditionalFormatting>
  <conditionalFormatting sqref="C54:C55">
    <cfRule type="cellIs" dxfId="5" priority="6" operator="equal">
      <formula>0</formula>
    </cfRule>
  </conditionalFormatting>
  <conditionalFormatting sqref="C57:C58">
    <cfRule type="cellIs" dxfId="4" priority="5" operator="equal">
      <formula>0</formula>
    </cfRule>
  </conditionalFormatting>
  <conditionalFormatting sqref="C63:C64">
    <cfRule type="cellIs" dxfId="3" priority="4" operator="equal">
      <formula>0</formula>
    </cfRule>
  </conditionalFormatting>
  <conditionalFormatting sqref="C66:C67">
    <cfRule type="cellIs" dxfId="2" priority="3" operator="equal">
      <formula>0</formula>
    </cfRule>
  </conditionalFormatting>
  <conditionalFormatting sqref="C77:C78">
    <cfRule type="cellIs" dxfId="1" priority="2" operator="equal">
      <formula>0</formula>
    </cfRule>
  </conditionalFormatting>
  <conditionalFormatting sqref="C80:C81">
    <cfRule type="cellIs" dxfId="0" priority="1" operator="equal">
      <formula>0</formula>
    </cfRule>
  </conditionalFormatting>
  <printOptions horizontalCentered="1"/>
  <pageMargins left="0.78740157480314965" right="0.19685039370078741" top="0.39370078740157483" bottom="0.59055118110236227" header="0.19685039370078741" footer="0.19685039370078741"/>
  <pageSetup paperSize="9" scale="71" fitToHeight="1000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W46"/>
  <sheetViews>
    <sheetView view="pageBreakPreview" zoomScale="80" zoomScaleNormal="100" zoomScaleSheetLayoutView="80" workbookViewId="0">
      <selection activeCell="B3" sqref="B3:F3"/>
    </sheetView>
  </sheetViews>
  <sheetFormatPr defaultColWidth="17" defaultRowHeight="12.75" outlineLevelCol="1" x14ac:dyDescent="0.2"/>
  <cols>
    <col min="1" max="1" width="6.5" style="195" customWidth="1"/>
    <col min="2" max="2" width="50" style="195" customWidth="1"/>
    <col min="3" max="3" width="17" style="195" hidden="1" customWidth="1"/>
    <col min="4" max="8" width="17" style="195" customWidth="1"/>
    <col min="9" max="9" width="18.6640625" style="195" customWidth="1"/>
    <col min="10" max="21" width="17" style="195" customWidth="1" outlineLevel="1"/>
    <col min="22" max="23" width="17" style="195" outlineLevel="1"/>
    <col min="24" max="256" width="17" style="195"/>
    <col min="257" max="257" width="6.5" style="195" customWidth="1"/>
    <col min="258" max="258" width="50" style="195" customWidth="1"/>
    <col min="259" max="259" width="0" style="195" hidden="1" customWidth="1"/>
    <col min="260" max="264" width="17" style="195" customWidth="1"/>
    <col min="265" max="265" width="18.6640625" style="195" customWidth="1"/>
    <col min="266" max="512" width="17" style="195"/>
    <col min="513" max="513" width="6.5" style="195" customWidth="1"/>
    <col min="514" max="514" width="50" style="195" customWidth="1"/>
    <col min="515" max="515" width="0" style="195" hidden="1" customWidth="1"/>
    <col min="516" max="520" width="17" style="195" customWidth="1"/>
    <col min="521" max="521" width="18.6640625" style="195" customWidth="1"/>
    <col min="522" max="768" width="17" style="195"/>
    <col min="769" max="769" width="6.5" style="195" customWidth="1"/>
    <col min="770" max="770" width="50" style="195" customWidth="1"/>
    <col min="771" max="771" width="0" style="195" hidden="1" customWidth="1"/>
    <col min="772" max="776" width="17" style="195" customWidth="1"/>
    <col min="777" max="777" width="18.6640625" style="195" customWidth="1"/>
    <col min="778" max="1024" width="17" style="195"/>
    <col min="1025" max="1025" width="6.5" style="195" customWidth="1"/>
    <col min="1026" max="1026" width="50" style="195" customWidth="1"/>
    <col min="1027" max="1027" width="0" style="195" hidden="1" customWidth="1"/>
    <col min="1028" max="1032" width="17" style="195" customWidth="1"/>
    <col min="1033" max="1033" width="18.6640625" style="195" customWidth="1"/>
    <col min="1034" max="1280" width="17" style="195"/>
    <col min="1281" max="1281" width="6.5" style="195" customWidth="1"/>
    <col min="1282" max="1282" width="50" style="195" customWidth="1"/>
    <col min="1283" max="1283" width="0" style="195" hidden="1" customWidth="1"/>
    <col min="1284" max="1288" width="17" style="195" customWidth="1"/>
    <col min="1289" max="1289" width="18.6640625" style="195" customWidth="1"/>
    <col min="1290" max="1536" width="17" style="195"/>
    <col min="1537" max="1537" width="6.5" style="195" customWidth="1"/>
    <col min="1538" max="1538" width="50" style="195" customWidth="1"/>
    <col min="1539" max="1539" width="0" style="195" hidden="1" customWidth="1"/>
    <col min="1540" max="1544" width="17" style="195" customWidth="1"/>
    <col min="1545" max="1545" width="18.6640625" style="195" customWidth="1"/>
    <col min="1546" max="1792" width="17" style="195"/>
    <col min="1793" max="1793" width="6.5" style="195" customWidth="1"/>
    <col min="1794" max="1794" width="50" style="195" customWidth="1"/>
    <col min="1795" max="1795" width="0" style="195" hidden="1" customWidth="1"/>
    <col min="1796" max="1800" width="17" style="195" customWidth="1"/>
    <col min="1801" max="1801" width="18.6640625" style="195" customWidth="1"/>
    <col min="1802" max="2048" width="17" style="195"/>
    <col min="2049" max="2049" width="6.5" style="195" customWidth="1"/>
    <col min="2050" max="2050" width="50" style="195" customWidth="1"/>
    <col min="2051" max="2051" width="0" style="195" hidden="1" customWidth="1"/>
    <col min="2052" max="2056" width="17" style="195" customWidth="1"/>
    <col min="2057" max="2057" width="18.6640625" style="195" customWidth="1"/>
    <col min="2058" max="2304" width="17" style="195"/>
    <col min="2305" max="2305" width="6.5" style="195" customWidth="1"/>
    <col min="2306" max="2306" width="50" style="195" customWidth="1"/>
    <col min="2307" max="2307" width="0" style="195" hidden="1" customWidth="1"/>
    <col min="2308" max="2312" width="17" style="195" customWidth="1"/>
    <col min="2313" max="2313" width="18.6640625" style="195" customWidth="1"/>
    <col min="2314" max="2560" width="17" style="195"/>
    <col min="2561" max="2561" width="6.5" style="195" customWidth="1"/>
    <col min="2562" max="2562" width="50" style="195" customWidth="1"/>
    <col min="2563" max="2563" width="0" style="195" hidden="1" customWidth="1"/>
    <col min="2564" max="2568" width="17" style="195" customWidth="1"/>
    <col min="2569" max="2569" width="18.6640625" style="195" customWidth="1"/>
    <col min="2570" max="2816" width="17" style="195"/>
    <col min="2817" max="2817" width="6.5" style="195" customWidth="1"/>
    <col min="2818" max="2818" width="50" style="195" customWidth="1"/>
    <col min="2819" max="2819" width="0" style="195" hidden="1" customWidth="1"/>
    <col min="2820" max="2824" width="17" style="195" customWidth="1"/>
    <col min="2825" max="2825" width="18.6640625" style="195" customWidth="1"/>
    <col min="2826" max="3072" width="17" style="195"/>
    <col min="3073" max="3073" width="6.5" style="195" customWidth="1"/>
    <col min="3074" max="3074" width="50" style="195" customWidth="1"/>
    <col min="3075" max="3075" width="0" style="195" hidden="1" customWidth="1"/>
    <col min="3076" max="3080" width="17" style="195" customWidth="1"/>
    <col min="3081" max="3081" width="18.6640625" style="195" customWidth="1"/>
    <col min="3082" max="3328" width="17" style="195"/>
    <col min="3329" max="3329" width="6.5" style="195" customWidth="1"/>
    <col min="3330" max="3330" width="50" style="195" customWidth="1"/>
    <col min="3331" max="3331" width="0" style="195" hidden="1" customWidth="1"/>
    <col min="3332" max="3336" width="17" style="195" customWidth="1"/>
    <col min="3337" max="3337" width="18.6640625" style="195" customWidth="1"/>
    <col min="3338" max="3584" width="17" style="195"/>
    <col min="3585" max="3585" width="6.5" style="195" customWidth="1"/>
    <col min="3586" max="3586" width="50" style="195" customWidth="1"/>
    <col min="3587" max="3587" width="0" style="195" hidden="1" customWidth="1"/>
    <col min="3588" max="3592" width="17" style="195" customWidth="1"/>
    <col min="3593" max="3593" width="18.6640625" style="195" customWidth="1"/>
    <col min="3594" max="3840" width="17" style="195"/>
    <col min="3841" max="3841" width="6.5" style="195" customWidth="1"/>
    <col min="3842" max="3842" width="50" style="195" customWidth="1"/>
    <col min="3843" max="3843" width="0" style="195" hidden="1" customWidth="1"/>
    <col min="3844" max="3848" width="17" style="195" customWidth="1"/>
    <col min="3849" max="3849" width="18.6640625" style="195" customWidth="1"/>
    <col min="3850" max="4096" width="17" style="195"/>
    <col min="4097" max="4097" width="6.5" style="195" customWidth="1"/>
    <col min="4098" max="4098" width="50" style="195" customWidth="1"/>
    <col min="4099" max="4099" width="0" style="195" hidden="1" customWidth="1"/>
    <col min="4100" max="4104" width="17" style="195" customWidth="1"/>
    <col min="4105" max="4105" width="18.6640625" style="195" customWidth="1"/>
    <col min="4106" max="4352" width="17" style="195"/>
    <col min="4353" max="4353" width="6.5" style="195" customWidth="1"/>
    <col min="4354" max="4354" width="50" style="195" customWidth="1"/>
    <col min="4355" max="4355" width="0" style="195" hidden="1" customWidth="1"/>
    <col min="4356" max="4360" width="17" style="195" customWidth="1"/>
    <col min="4361" max="4361" width="18.6640625" style="195" customWidth="1"/>
    <col min="4362" max="4608" width="17" style="195"/>
    <col min="4609" max="4609" width="6.5" style="195" customWidth="1"/>
    <col min="4610" max="4610" width="50" style="195" customWidth="1"/>
    <col min="4611" max="4611" width="0" style="195" hidden="1" customWidth="1"/>
    <col min="4612" max="4616" width="17" style="195" customWidth="1"/>
    <col min="4617" max="4617" width="18.6640625" style="195" customWidth="1"/>
    <col min="4618" max="4864" width="17" style="195"/>
    <col min="4865" max="4865" width="6.5" style="195" customWidth="1"/>
    <col min="4866" max="4866" width="50" style="195" customWidth="1"/>
    <col min="4867" max="4867" width="0" style="195" hidden="1" customWidth="1"/>
    <col min="4868" max="4872" width="17" style="195" customWidth="1"/>
    <col min="4873" max="4873" width="18.6640625" style="195" customWidth="1"/>
    <col min="4874" max="5120" width="17" style="195"/>
    <col min="5121" max="5121" width="6.5" style="195" customWidth="1"/>
    <col min="5122" max="5122" width="50" style="195" customWidth="1"/>
    <col min="5123" max="5123" width="0" style="195" hidden="1" customWidth="1"/>
    <col min="5124" max="5128" width="17" style="195" customWidth="1"/>
    <col min="5129" max="5129" width="18.6640625" style="195" customWidth="1"/>
    <col min="5130" max="5376" width="17" style="195"/>
    <col min="5377" max="5377" width="6.5" style="195" customWidth="1"/>
    <col min="5378" max="5378" width="50" style="195" customWidth="1"/>
    <col min="5379" max="5379" width="0" style="195" hidden="1" customWidth="1"/>
    <col min="5380" max="5384" width="17" style="195" customWidth="1"/>
    <col min="5385" max="5385" width="18.6640625" style="195" customWidth="1"/>
    <col min="5386" max="5632" width="17" style="195"/>
    <col min="5633" max="5633" width="6.5" style="195" customWidth="1"/>
    <col min="5634" max="5634" width="50" style="195" customWidth="1"/>
    <col min="5635" max="5635" width="0" style="195" hidden="1" customWidth="1"/>
    <col min="5636" max="5640" width="17" style="195" customWidth="1"/>
    <col min="5641" max="5641" width="18.6640625" style="195" customWidth="1"/>
    <col min="5642" max="5888" width="17" style="195"/>
    <col min="5889" max="5889" width="6.5" style="195" customWidth="1"/>
    <col min="5890" max="5890" width="50" style="195" customWidth="1"/>
    <col min="5891" max="5891" width="0" style="195" hidden="1" customWidth="1"/>
    <col min="5892" max="5896" width="17" style="195" customWidth="1"/>
    <col min="5897" max="5897" width="18.6640625" style="195" customWidth="1"/>
    <col min="5898" max="6144" width="17" style="195"/>
    <col min="6145" max="6145" width="6.5" style="195" customWidth="1"/>
    <col min="6146" max="6146" width="50" style="195" customWidth="1"/>
    <col min="6147" max="6147" width="0" style="195" hidden="1" customWidth="1"/>
    <col min="6148" max="6152" width="17" style="195" customWidth="1"/>
    <col min="6153" max="6153" width="18.6640625" style="195" customWidth="1"/>
    <col min="6154" max="6400" width="17" style="195"/>
    <col min="6401" max="6401" width="6.5" style="195" customWidth="1"/>
    <col min="6402" max="6402" width="50" style="195" customWidth="1"/>
    <col min="6403" max="6403" width="0" style="195" hidden="1" customWidth="1"/>
    <col min="6404" max="6408" width="17" style="195" customWidth="1"/>
    <col min="6409" max="6409" width="18.6640625" style="195" customWidth="1"/>
    <col min="6410" max="6656" width="17" style="195"/>
    <col min="6657" max="6657" width="6.5" style="195" customWidth="1"/>
    <col min="6658" max="6658" width="50" style="195" customWidth="1"/>
    <col min="6659" max="6659" width="0" style="195" hidden="1" customWidth="1"/>
    <col min="6660" max="6664" width="17" style="195" customWidth="1"/>
    <col min="6665" max="6665" width="18.6640625" style="195" customWidth="1"/>
    <col min="6666" max="6912" width="17" style="195"/>
    <col min="6913" max="6913" width="6.5" style="195" customWidth="1"/>
    <col min="6914" max="6914" width="50" style="195" customWidth="1"/>
    <col min="6915" max="6915" width="0" style="195" hidden="1" customWidth="1"/>
    <col min="6916" max="6920" width="17" style="195" customWidth="1"/>
    <col min="6921" max="6921" width="18.6640625" style="195" customWidth="1"/>
    <col min="6922" max="7168" width="17" style="195"/>
    <col min="7169" max="7169" width="6.5" style="195" customWidth="1"/>
    <col min="7170" max="7170" width="50" style="195" customWidth="1"/>
    <col min="7171" max="7171" width="0" style="195" hidden="1" customWidth="1"/>
    <col min="7172" max="7176" width="17" style="195" customWidth="1"/>
    <col min="7177" max="7177" width="18.6640625" style="195" customWidth="1"/>
    <col min="7178" max="7424" width="17" style="195"/>
    <col min="7425" max="7425" width="6.5" style="195" customWidth="1"/>
    <col min="7426" max="7426" width="50" style="195" customWidth="1"/>
    <col min="7427" max="7427" width="0" style="195" hidden="1" customWidth="1"/>
    <col min="7428" max="7432" width="17" style="195" customWidth="1"/>
    <col min="7433" max="7433" width="18.6640625" style="195" customWidth="1"/>
    <col min="7434" max="7680" width="17" style="195"/>
    <col min="7681" max="7681" width="6.5" style="195" customWidth="1"/>
    <col min="7682" max="7682" width="50" style="195" customWidth="1"/>
    <col min="7683" max="7683" width="0" style="195" hidden="1" customWidth="1"/>
    <col min="7684" max="7688" width="17" style="195" customWidth="1"/>
    <col min="7689" max="7689" width="18.6640625" style="195" customWidth="1"/>
    <col min="7690" max="7936" width="17" style="195"/>
    <col min="7937" max="7937" width="6.5" style="195" customWidth="1"/>
    <col min="7938" max="7938" width="50" style="195" customWidth="1"/>
    <col min="7939" max="7939" width="0" style="195" hidden="1" customWidth="1"/>
    <col min="7940" max="7944" width="17" style="195" customWidth="1"/>
    <col min="7945" max="7945" width="18.6640625" style="195" customWidth="1"/>
    <col min="7946" max="8192" width="17" style="195"/>
    <col min="8193" max="8193" width="6.5" style="195" customWidth="1"/>
    <col min="8194" max="8194" width="50" style="195" customWidth="1"/>
    <col min="8195" max="8195" width="0" style="195" hidden="1" customWidth="1"/>
    <col min="8196" max="8200" width="17" style="195" customWidth="1"/>
    <col min="8201" max="8201" width="18.6640625" style="195" customWidth="1"/>
    <col min="8202" max="8448" width="17" style="195"/>
    <col min="8449" max="8449" width="6.5" style="195" customWidth="1"/>
    <col min="8450" max="8450" width="50" style="195" customWidth="1"/>
    <col min="8451" max="8451" width="0" style="195" hidden="1" customWidth="1"/>
    <col min="8452" max="8456" width="17" style="195" customWidth="1"/>
    <col min="8457" max="8457" width="18.6640625" style="195" customWidth="1"/>
    <col min="8458" max="8704" width="17" style="195"/>
    <col min="8705" max="8705" width="6.5" style="195" customWidth="1"/>
    <col min="8706" max="8706" width="50" style="195" customWidth="1"/>
    <col min="8707" max="8707" width="0" style="195" hidden="1" customWidth="1"/>
    <col min="8708" max="8712" width="17" style="195" customWidth="1"/>
    <col min="8713" max="8713" width="18.6640625" style="195" customWidth="1"/>
    <col min="8714" max="8960" width="17" style="195"/>
    <col min="8961" max="8961" width="6.5" style="195" customWidth="1"/>
    <col min="8962" max="8962" width="50" style="195" customWidth="1"/>
    <col min="8963" max="8963" width="0" style="195" hidden="1" customWidth="1"/>
    <col min="8964" max="8968" width="17" style="195" customWidth="1"/>
    <col min="8969" max="8969" width="18.6640625" style="195" customWidth="1"/>
    <col min="8970" max="9216" width="17" style="195"/>
    <col min="9217" max="9217" width="6.5" style="195" customWidth="1"/>
    <col min="9218" max="9218" width="50" style="195" customWidth="1"/>
    <col min="9219" max="9219" width="0" style="195" hidden="1" customWidth="1"/>
    <col min="9220" max="9224" width="17" style="195" customWidth="1"/>
    <col min="9225" max="9225" width="18.6640625" style="195" customWidth="1"/>
    <col min="9226" max="9472" width="17" style="195"/>
    <col min="9473" max="9473" width="6.5" style="195" customWidth="1"/>
    <col min="9474" max="9474" width="50" style="195" customWidth="1"/>
    <col min="9475" max="9475" width="0" style="195" hidden="1" customWidth="1"/>
    <col min="9476" max="9480" width="17" style="195" customWidth="1"/>
    <col min="9481" max="9481" width="18.6640625" style="195" customWidth="1"/>
    <col min="9482" max="9728" width="17" style="195"/>
    <col min="9729" max="9729" width="6.5" style="195" customWidth="1"/>
    <col min="9730" max="9730" width="50" style="195" customWidth="1"/>
    <col min="9731" max="9731" width="0" style="195" hidden="1" customWidth="1"/>
    <col min="9732" max="9736" width="17" style="195" customWidth="1"/>
    <col min="9737" max="9737" width="18.6640625" style="195" customWidth="1"/>
    <col min="9738" max="9984" width="17" style="195"/>
    <col min="9985" max="9985" width="6.5" style="195" customWidth="1"/>
    <col min="9986" max="9986" width="50" style="195" customWidth="1"/>
    <col min="9987" max="9987" width="0" style="195" hidden="1" customWidth="1"/>
    <col min="9988" max="9992" width="17" style="195" customWidth="1"/>
    <col min="9993" max="9993" width="18.6640625" style="195" customWidth="1"/>
    <col min="9994" max="10240" width="17" style="195"/>
    <col min="10241" max="10241" width="6.5" style="195" customWidth="1"/>
    <col min="10242" max="10242" width="50" style="195" customWidth="1"/>
    <col min="10243" max="10243" width="0" style="195" hidden="1" customWidth="1"/>
    <col min="10244" max="10248" width="17" style="195" customWidth="1"/>
    <col min="10249" max="10249" width="18.6640625" style="195" customWidth="1"/>
    <col min="10250" max="10496" width="17" style="195"/>
    <col min="10497" max="10497" width="6.5" style="195" customWidth="1"/>
    <col min="10498" max="10498" width="50" style="195" customWidth="1"/>
    <col min="10499" max="10499" width="0" style="195" hidden="1" customWidth="1"/>
    <col min="10500" max="10504" width="17" style="195" customWidth="1"/>
    <col min="10505" max="10505" width="18.6640625" style="195" customWidth="1"/>
    <col min="10506" max="10752" width="17" style="195"/>
    <col min="10753" max="10753" width="6.5" style="195" customWidth="1"/>
    <col min="10754" max="10754" width="50" style="195" customWidth="1"/>
    <col min="10755" max="10755" width="0" style="195" hidden="1" customWidth="1"/>
    <col min="10756" max="10760" width="17" style="195" customWidth="1"/>
    <col min="10761" max="10761" width="18.6640625" style="195" customWidth="1"/>
    <col min="10762" max="11008" width="17" style="195"/>
    <col min="11009" max="11009" width="6.5" style="195" customWidth="1"/>
    <col min="11010" max="11010" width="50" style="195" customWidth="1"/>
    <col min="11011" max="11011" width="0" style="195" hidden="1" customWidth="1"/>
    <col min="11012" max="11016" width="17" style="195" customWidth="1"/>
    <col min="11017" max="11017" width="18.6640625" style="195" customWidth="1"/>
    <col min="11018" max="11264" width="17" style="195"/>
    <col min="11265" max="11265" width="6.5" style="195" customWidth="1"/>
    <col min="11266" max="11266" width="50" style="195" customWidth="1"/>
    <col min="11267" max="11267" width="0" style="195" hidden="1" customWidth="1"/>
    <col min="11268" max="11272" width="17" style="195" customWidth="1"/>
    <col min="11273" max="11273" width="18.6640625" style="195" customWidth="1"/>
    <col min="11274" max="11520" width="17" style="195"/>
    <col min="11521" max="11521" width="6.5" style="195" customWidth="1"/>
    <col min="11522" max="11522" width="50" style="195" customWidth="1"/>
    <col min="11523" max="11523" width="0" style="195" hidden="1" customWidth="1"/>
    <col min="11524" max="11528" width="17" style="195" customWidth="1"/>
    <col min="11529" max="11529" width="18.6640625" style="195" customWidth="1"/>
    <col min="11530" max="11776" width="17" style="195"/>
    <col min="11777" max="11777" width="6.5" style="195" customWidth="1"/>
    <col min="11778" max="11778" width="50" style="195" customWidth="1"/>
    <col min="11779" max="11779" width="0" style="195" hidden="1" customWidth="1"/>
    <col min="11780" max="11784" width="17" style="195" customWidth="1"/>
    <col min="11785" max="11785" width="18.6640625" style="195" customWidth="1"/>
    <col min="11786" max="12032" width="17" style="195"/>
    <col min="12033" max="12033" width="6.5" style="195" customWidth="1"/>
    <col min="12034" max="12034" width="50" style="195" customWidth="1"/>
    <col min="12035" max="12035" width="0" style="195" hidden="1" customWidth="1"/>
    <col min="12036" max="12040" width="17" style="195" customWidth="1"/>
    <col min="12041" max="12041" width="18.6640625" style="195" customWidth="1"/>
    <col min="12042" max="12288" width="17" style="195"/>
    <col min="12289" max="12289" width="6.5" style="195" customWidth="1"/>
    <col min="12290" max="12290" width="50" style="195" customWidth="1"/>
    <col min="12291" max="12291" width="0" style="195" hidden="1" customWidth="1"/>
    <col min="12292" max="12296" width="17" style="195" customWidth="1"/>
    <col min="12297" max="12297" width="18.6640625" style="195" customWidth="1"/>
    <col min="12298" max="12544" width="17" style="195"/>
    <col min="12545" max="12545" width="6.5" style="195" customWidth="1"/>
    <col min="12546" max="12546" width="50" style="195" customWidth="1"/>
    <col min="12547" max="12547" width="0" style="195" hidden="1" customWidth="1"/>
    <col min="12548" max="12552" width="17" style="195" customWidth="1"/>
    <col min="12553" max="12553" width="18.6640625" style="195" customWidth="1"/>
    <col min="12554" max="12800" width="17" style="195"/>
    <col min="12801" max="12801" width="6.5" style="195" customWidth="1"/>
    <col min="12802" max="12802" width="50" style="195" customWidth="1"/>
    <col min="12803" max="12803" width="0" style="195" hidden="1" customWidth="1"/>
    <col min="12804" max="12808" width="17" style="195" customWidth="1"/>
    <col min="12809" max="12809" width="18.6640625" style="195" customWidth="1"/>
    <col min="12810" max="13056" width="17" style="195"/>
    <col min="13057" max="13057" width="6.5" style="195" customWidth="1"/>
    <col min="13058" max="13058" width="50" style="195" customWidth="1"/>
    <col min="13059" max="13059" width="0" style="195" hidden="1" customWidth="1"/>
    <col min="13060" max="13064" width="17" style="195" customWidth="1"/>
    <col min="13065" max="13065" width="18.6640625" style="195" customWidth="1"/>
    <col min="13066" max="13312" width="17" style="195"/>
    <col min="13313" max="13313" width="6.5" style="195" customWidth="1"/>
    <col min="13314" max="13314" width="50" style="195" customWidth="1"/>
    <col min="13315" max="13315" width="0" style="195" hidden="1" customWidth="1"/>
    <col min="13316" max="13320" width="17" style="195" customWidth="1"/>
    <col min="13321" max="13321" width="18.6640625" style="195" customWidth="1"/>
    <col min="13322" max="13568" width="17" style="195"/>
    <col min="13569" max="13569" width="6.5" style="195" customWidth="1"/>
    <col min="13570" max="13570" width="50" style="195" customWidth="1"/>
    <col min="13571" max="13571" width="0" style="195" hidden="1" customWidth="1"/>
    <col min="13572" max="13576" width="17" style="195" customWidth="1"/>
    <col min="13577" max="13577" width="18.6640625" style="195" customWidth="1"/>
    <col min="13578" max="13824" width="17" style="195"/>
    <col min="13825" max="13825" width="6.5" style="195" customWidth="1"/>
    <col min="13826" max="13826" width="50" style="195" customWidth="1"/>
    <col min="13827" max="13827" width="0" style="195" hidden="1" customWidth="1"/>
    <col min="13828" max="13832" width="17" style="195" customWidth="1"/>
    <col min="13833" max="13833" width="18.6640625" style="195" customWidth="1"/>
    <col min="13834" max="14080" width="17" style="195"/>
    <col min="14081" max="14081" width="6.5" style="195" customWidth="1"/>
    <col min="14082" max="14082" width="50" style="195" customWidth="1"/>
    <col min="14083" max="14083" width="0" style="195" hidden="1" customWidth="1"/>
    <col min="14084" max="14088" width="17" style="195" customWidth="1"/>
    <col min="14089" max="14089" width="18.6640625" style="195" customWidth="1"/>
    <col min="14090" max="14336" width="17" style="195"/>
    <col min="14337" max="14337" width="6.5" style="195" customWidth="1"/>
    <col min="14338" max="14338" width="50" style="195" customWidth="1"/>
    <col min="14339" max="14339" width="0" style="195" hidden="1" customWidth="1"/>
    <col min="14340" max="14344" width="17" style="195" customWidth="1"/>
    <col min="14345" max="14345" width="18.6640625" style="195" customWidth="1"/>
    <col min="14346" max="14592" width="17" style="195"/>
    <col min="14593" max="14593" width="6.5" style="195" customWidth="1"/>
    <col min="14594" max="14594" width="50" style="195" customWidth="1"/>
    <col min="14595" max="14595" width="0" style="195" hidden="1" customWidth="1"/>
    <col min="14596" max="14600" width="17" style="195" customWidth="1"/>
    <col min="14601" max="14601" width="18.6640625" style="195" customWidth="1"/>
    <col min="14602" max="14848" width="17" style="195"/>
    <col min="14849" max="14849" width="6.5" style="195" customWidth="1"/>
    <col min="14850" max="14850" width="50" style="195" customWidth="1"/>
    <col min="14851" max="14851" width="0" style="195" hidden="1" customWidth="1"/>
    <col min="14852" max="14856" width="17" style="195" customWidth="1"/>
    <col min="14857" max="14857" width="18.6640625" style="195" customWidth="1"/>
    <col min="14858" max="15104" width="17" style="195"/>
    <col min="15105" max="15105" width="6.5" style="195" customWidth="1"/>
    <col min="15106" max="15106" width="50" style="195" customWidth="1"/>
    <col min="15107" max="15107" width="0" style="195" hidden="1" customWidth="1"/>
    <col min="15108" max="15112" width="17" style="195" customWidth="1"/>
    <col min="15113" max="15113" width="18.6640625" style="195" customWidth="1"/>
    <col min="15114" max="15360" width="17" style="195"/>
    <col min="15361" max="15361" width="6.5" style="195" customWidth="1"/>
    <col min="15362" max="15362" width="50" style="195" customWidth="1"/>
    <col min="15363" max="15363" width="0" style="195" hidden="1" customWidth="1"/>
    <col min="15364" max="15368" width="17" style="195" customWidth="1"/>
    <col min="15369" max="15369" width="18.6640625" style="195" customWidth="1"/>
    <col min="15370" max="15616" width="17" style="195"/>
    <col min="15617" max="15617" width="6.5" style="195" customWidth="1"/>
    <col min="15618" max="15618" width="50" style="195" customWidth="1"/>
    <col min="15619" max="15619" width="0" style="195" hidden="1" customWidth="1"/>
    <col min="15620" max="15624" width="17" style="195" customWidth="1"/>
    <col min="15625" max="15625" width="18.6640625" style="195" customWidth="1"/>
    <col min="15626" max="15872" width="17" style="195"/>
    <col min="15873" max="15873" width="6.5" style="195" customWidth="1"/>
    <col min="15874" max="15874" width="50" style="195" customWidth="1"/>
    <col min="15875" max="15875" width="0" style="195" hidden="1" customWidth="1"/>
    <col min="15876" max="15880" width="17" style="195" customWidth="1"/>
    <col min="15881" max="15881" width="18.6640625" style="195" customWidth="1"/>
    <col min="15882" max="16128" width="17" style="195"/>
    <col min="16129" max="16129" width="6.5" style="195" customWidth="1"/>
    <col min="16130" max="16130" width="50" style="195" customWidth="1"/>
    <col min="16131" max="16131" width="0" style="195" hidden="1" customWidth="1"/>
    <col min="16132" max="16136" width="17" style="195" customWidth="1"/>
    <col min="16137" max="16137" width="18.6640625" style="195" customWidth="1"/>
    <col min="16138" max="16384" width="17" style="195"/>
  </cols>
  <sheetData>
    <row r="2" spans="1:23" x14ac:dyDescent="0.2">
      <c r="B2" s="195" t="s">
        <v>42</v>
      </c>
    </row>
    <row r="3" spans="1:23" s="197" customFormat="1" ht="45" customHeight="1" x14ac:dyDescent="0.2">
      <c r="A3" s="195"/>
      <c r="B3" s="297" t="s">
        <v>216</v>
      </c>
      <c r="C3" s="297"/>
      <c r="D3" s="297"/>
      <c r="E3" s="297"/>
      <c r="F3" s="297"/>
      <c r="G3" s="196"/>
      <c r="H3" s="196"/>
      <c r="I3" s="195"/>
    </row>
    <row r="4" spans="1:23" s="197" customFormat="1" ht="14.25" x14ac:dyDescent="0.2">
      <c r="A4" s="195"/>
      <c r="B4" s="15" t="s">
        <v>169</v>
      </c>
      <c r="C4" s="195"/>
      <c r="D4" s="195"/>
      <c r="E4" s="195"/>
      <c r="F4" s="195"/>
      <c r="G4" s="195"/>
      <c r="H4" s="195"/>
      <c r="I4" s="195"/>
    </row>
    <row r="5" spans="1:23" ht="34.5" customHeight="1" x14ac:dyDescent="0.2">
      <c r="A5" s="294" t="s">
        <v>43</v>
      </c>
      <c r="B5" s="294" t="s">
        <v>44</v>
      </c>
      <c r="C5" s="294" t="s">
        <v>45</v>
      </c>
      <c r="D5" s="294" t="s">
        <v>46</v>
      </c>
      <c r="E5" s="294" t="s">
        <v>47</v>
      </c>
      <c r="F5" s="299" t="s">
        <v>48</v>
      </c>
      <c r="G5" s="300"/>
      <c r="H5" s="301"/>
      <c r="I5" s="294" t="s">
        <v>49</v>
      </c>
      <c r="L5" s="296" t="s">
        <v>50</v>
      </c>
      <c r="M5" s="296" t="s">
        <v>51</v>
      </c>
      <c r="N5" s="296" t="s">
        <v>52</v>
      </c>
      <c r="O5" s="296" t="s">
        <v>53</v>
      </c>
      <c r="P5" s="296" t="s">
        <v>54</v>
      </c>
      <c r="Q5" s="181" t="s">
        <v>55</v>
      </c>
    </row>
    <row r="6" spans="1:23" ht="14.25" customHeight="1" x14ac:dyDescent="0.2">
      <c r="A6" s="298"/>
      <c r="B6" s="298"/>
      <c r="C6" s="298"/>
      <c r="D6" s="298"/>
      <c r="E6" s="298"/>
      <c r="F6" s="302" t="s">
        <v>56</v>
      </c>
      <c r="G6" s="303" t="s">
        <v>57</v>
      </c>
      <c r="H6" s="304"/>
      <c r="I6" s="298"/>
      <c r="L6" s="296"/>
      <c r="M6" s="296"/>
      <c r="N6" s="296"/>
      <c r="O6" s="296"/>
      <c r="P6" s="296"/>
      <c r="Q6" s="181"/>
    </row>
    <row r="7" spans="1:23" ht="15" x14ac:dyDescent="0.2">
      <c r="A7" s="295"/>
      <c r="B7" s="295"/>
      <c r="C7" s="295"/>
      <c r="D7" s="295"/>
      <c r="E7" s="295"/>
      <c r="F7" s="302"/>
      <c r="G7" s="183" t="s">
        <v>58</v>
      </c>
      <c r="H7" s="16" t="s">
        <v>59</v>
      </c>
      <c r="I7" s="295"/>
      <c r="L7" s="296"/>
      <c r="M7" s="296"/>
      <c r="N7" s="296"/>
      <c r="O7" s="296"/>
      <c r="P7" s="296"/>
      <c r="Q7" s="181"/>
    </row>
    <row r="8" spans="1:23" ht="15" x14ac:dyDescent="0.2">
      <c r="A8" s="180">
        <v>1</v>
      </c>
      <c r="B8" s="180">
        <v>2</v>
      </c>
      <c r="C8" s="180"/>
      <c r="D8" s="180">
        <v>3</v>
      </c>
      <c r="E8" s="17">
        <v>4</v>
      </c>
      <c r="F8" s="182">
        <v>5</v>
      </c>
      <c r="G8" s="183">
        <v>6</v>
      </c>
      <c r="H8" s="16">
        <v>7</v>
      </c>
      <c r="I8" s="180">
        <v>8</v>
      </c>
      <c r="L8" s="296"/>
      <c r="M8" s="296"/>
      <c r="N8" s="296"/>
      <c r="O8" s="296"/>
      <c r="P8" s="296"/>
      <c r="Q8" s="181"/>
    </row>
    <row r="9" spans="1:23" ht="30" x14ac:dyDescent="0.2">
      <c r="A9" s="182">
        <v>1</v>
      </c>
      <c r="B9" s="18" t="s">
        <v>60</v>
      </c>
      <c r="C9" s="19"/>
      <c r="D9" s="19">
        <f>SUM('ПРСС без оборуд.'!D92:E92)*1000</f>
        <v>1506962</v>
      </c>
      <c r="E9" s="20">
        <f>'ПРСС без оборуд.'!F92*1000</f>
        <v>10610092</v>
      </c>
      <c r="F9" s="19">
        <f>'ПРСС без оборуд.'!G92*1000</f>
        <v>159462</v>
      </c>
      <c r="G9" s="21">
        <f>F9-H9</f>
        <v>1979</v>
      </c>
      <c r="H9" s="21">
        <f>ROUND('ПРСС без оборуд.'!G81*1000*1.015,0)</f>
        <v>157483</v>
      </c>
      <c r="I9" s="19">
        <f>SUM(C9:F9)</f>
        <v>12276516</v>
      </c>
      <c r="J9" s="209">
        <f>'ПРСС без оборуд.'!H92*1000-I9</f>
        <v>0</v>
      </c>
      <c r="L9" s="296"/>
      <c r="M9" s="296"/>
      <c r="N9" s="296"/>
      <c r="O9" s="296"/>
      <c r="P9" s="296"/>
      <c r="Q9" s="181" t="s">
        <v>61</v>
      </c>
    </row>
    <row r="10" spans="1:23" ht="54" customHeight="1" x14ac:dyDescent="0.2">
      <c r="A10" s="182">
        <v>2</v>
      </c>
      <c r="B10" s="18" t="s">
        <v>62</v>
      </c>
      <c r="C10" s="182">
        <v>3.53</v>
      </c>
      <c r="D10" s="182">
        <v>7.1</v>
      </c>
      <c r="E10" s="182">
        <v>3.82</v>
      </c>
      <c r="F10" s="182"/>
      <c r="G10" s="16">
        <v>7.53</v>
      </c>
      <c r="H10" s="16">
        <v>15.97</v>
      </c>
      <c r="I10" s="182"/>
      <c r="L10" s="22" t="s">
        <v>63</v>
      </c>
      <c r="M10" s="22">
        <v>0.92500000000000004</v>
      </c>
      <c r="N10" s="22">
        <v>0.85</v>
      </c>
      <c r="O10" s="22">
        <v>0.77500000000000002</v>
      </c>
      <c r="P10" s="22">
        <v>0.7</v>
      </c>
      <c r="Q10" s="22">
        <v>0.7</v>
      </c>
    </row>
    <row r="11" spans="1:23" ht="47.25" customHeight="1" x14ac:dyDescent="0.2">
      <c r="A11" s="182">
        <v>3</v>
      </c>
      <c r="B11" s="23" t="s">
        <v>64</v>
      </c>
      <c r="C11" s="19">
        <f>C9*C10</f>
        <v>0</v>
      </c>
      <c r="D11" s="19">
        <f>D9*D10</f>
        <v>10699430.199999999</v>
      </c>
      <c r="E11" s="19">
        <f>E9*E10</f>
        <v>40530551.439999998</v>
      </c>
      <c r="F11" s="19">
        <f>G11+H11</f>
        <v>2529905.38</v>
      </c>
      <c r="G11" s="21">
        <f>G9*G10</f>
        <v>14901.87</v>
      </c>
      <c r="H11" s="21">
        <f>H9*H10</f>
        <v>2515003.5099999998</v>
      </c>
      <c r="I11" s="19">
        <f>SUM(C11:F11)</f>
        <v>53759887.020000003</v>
      </c>
      <c r="J11" s="252">
        <f>'ПРСС без оборуд.'!H94*1000-I11</f>
        <v>0</v>
      </c>
      <c r="K11" s="24"/>
      <c r="L11" s="25" t="s">
        <v>190</v>
      </c>
      <c r="M11" s="25" t="s">
        <v>51</v>
      </c>
      <c r="N11" s="25" t="s">
        <v>52</v>
      </c>
      <c r="O11" s="25" t="s">
        <v>53</v>
      </c>
      <c r="P11" s="25" t="s">
        <v>54</v>
      </c>
      <c r="Q11" s="25" t="s">
        <v>191</v>
      </c>
      <c r="R11" s="25" t="s">
        <v>189</v>
      </c>
      <c r="S11" s="25" t="s">
        <v>192</v>
      </c>
      <c r="T11" s="25" t="s">
        <v>193</v>
      </c>
      <c r="U11" s="25" t="s">
        <v>194</v>
      </c>
    </row>
    <row r="12" spans="1:23" ht="59.25" customHeight="1" x14ac:dyDescent="0.2">
      <c r="A12" s="294">
        <v>4</v>
      </c>
      <c r="B12" s="26" t="s">
        <v>174</v>
      </c>
      <c r="C12" s="291">
        <f>I12</f>
        <v>1.58134</v>
      </c>
      <c r="D12" s="291">
        <f>I12</f>
        <v>1.58134</v>
      </c>
      <c r="E12" s="291">
        <f>I12</f>
        <v>1.58134</v>
      </c>
      <c r="F12" s="291">
        <f>I12</f>
        <v>1.58134</v>
      </c>
      <c r="G12" s="289">
        <f>I12</f>
        <v>1.58134</v>
      </c>
      <c r="H12" s="289">
        <f>I12</f>
        <v>1.58134</v>
      </c>
      <c r="I12" s="291">
        <f>PRODUCT(L12:R12)</f>
        <v>1.58134</v>
      </c>
      <c r="J12" s="251">
        <f>PRODUCT(L12:R12)</f>
        <v>1.58134296875</v>
      </c>
      <c r="K12" s="198" t="s">
        <v>171</v>
      </c>
      <c r="L12" s="175">
        <f>1.06</f>
        <v>1.06</v>
      </c>
      <c r="M12" s="176">
        <f>1.049</f>
        <v>1.0489999999999999</v>
      </c>
      <c r="N12" s="176">
        <f>1.143</f>
        <v>1.143</v>
      </c>
      <c r="O12" s="176">
        <f>1.081</f>
        <v>1.081</v>
      </c>
      <c r="P12" s="176">
        <f>1.054</f>
        <v>1.054</v>
      </c>
      <c r="Q12" s="176">
        <f>1.044</f>
        <v>1.044</v>
      </c>
      <c r="R12" s="176">
        <f>1.046</f>
        <v>1.046</v>
      </c>
      <c r="S12" s="177">
        <v>1.0389999999999999</v>
      </c>
      <c r="T12" s="177">
        <v>1.04</v>
      </c>
      <c r="U12" s="178">
        <v>1.034</v>
      </c>
      <c r="V12" s="199">
        <f>PRODUCT(L12:R12)</f>
        <v>1.58134</v>
      </c>
      <c r="W12" s="199">
        <f>PRODUCT(L12:Q12)</f>
        <v>1.5118</v>
      </c>
    </row>
    <row r="13" spans="1:23" ht="15" x14ac:dyDescent="0.2">
      <c r="A13" s="295"/>
      <c r="B13" s="27">
        <f>D12</f>
        <v>1.58134</v>
      </c>
      <c r="C13" s="292"/>
      <c r="D13" s="292"/>
      <c r="E13" s="292"/>
      <c r="F13" s="292"/>
      <c r="G13" s="290"/>
      <c r="H13" s="290"/>
      <c r="I13" s="292"/>
      <c r="J13" s="195">
        <f>1.4795</f>
        <v>1.4795</v>
      </c>
      <c r="K13" s="249" t="s">
        <v>172</v>
      </c>
      <c r="L13" s="200">
        <f>1.059</f>
        <v>1.0589999999999999</v>
      </c>
      <c r="M13" s="201">
        <f>1.058</f>
        <v>1.0580000000000001</v>
      </c>
      <c r="N13" s="201">
        <f>1.062</f>
        <v>1.0620000000000001</v>
      </c>
      <c r="O13" s="202">
        <f>1.065</f>
        <v>1.0649999999999999</v>
      </c>
      <c r="P13" s="202">
        <f>1.057</f>
        <v>1.0569999999999999</v>
      </c>
      <c r="Q13" s="202">
        <f>1.055</f>
        <v>1.0549999999999999</v>
      </c>
      <c r="R13" s="202">
        <f>1.055</f>
        <v>1.0549999999999999</v>
      </c>
      <c r="S13" s="202">
        <f>1.051</f>
        <v>1.0509999999999999</v>
      </c>
      <c r="T13" s="202">
        <f>1.048</f>
        <v>1.048</v>
      </c>
      <c r="U13" s="202">
        <f>1.052</f>
        <v>1.052</v>
      </c>
      <c r="V13" s="199">
        <f t="shared" ref="V13:V14" si="0">PRODUCT(L13:R13)</f>
        <v>1.4908600000000001</v>
      </c>
      <c r="W13" s="199">
        <f t="shared" ref="W13:W14" si="1">PRODUCT(L13:Q13)</f>
        <v>1.41313</v>
      </c>
    </row>
    <row r="14" spans="1:23" s="203" customFormat="1" ht="30" x14ac:dyDescent="0.2">
      <c r="A14" s="28">
        <v>5</v>
      </c>
      <c r="B14" s="29" t="s">
        <v>65</v>
      </c>
      <c r="C14" s="30">
        <f>C11*C12</f>
        <v>0</v>
      </c>
      <c r="D14" s="30">
        <f>D11*$J$12</f>
        <v>16919468.719999999</v>
      </c>
      <c r="E14" s="30">
        <f>E11*$J$12</f>
        <v>64092702.539999999</v>
      </c>
      <c r="F14" s="30">
        <f>G14+H14</f>
        <v>4000648.09</v>
      </c>
      <c r="G14" s="30">
        <f>G11*$J$12</f>
        <v>23564.97</v>
      </c>
      <c r="H14" s="30">
        <f>H11*$J$12</f>
        <v>3977083.12</v>
      </c>
      <c r="I14" s="30">
        <f>SUM(C14:F14)</f>
        <v>85012819.349999994</v>
      </c>
      <c r="K14" s="204" t="s">
        <v>173</v>
      </c>
      <c r="L14" s="205">
        <f>1.06</f>
        <v>1.06</v>
      </c>
      <c r="M14" s="206">
        <f>1.049</f>
        <v>1.0489999999999999</v>
      </c>
      <c r="N14" s="206">
        <v>1.143</v>
      </c>
      <c r="O14" s="207">
        <f>1.063</f>
        <v>1.0629999999999999</v>
      </c>
      <c r="P14" s="207">
        <f>1.044</f>
        <v>1.044</v>
      </c>
      <c r="Q14" s="207">
        <f>1.046</f>
        <v>1.046</v>
      </c>
      <c r="R14" s="207">
        <f>1.044</f>
        <v>1.044</v>
      </c>
      <c r="S14" s="207">
        <f>1.042</f>
        <v>1.042</v>
      </c>
      <c r="T14" s="208"/>
      <c r="U14" s="208"/>
      <c r="V14" s="199">
        <f t="shared" si="0"/>
        <v>1.54026</v>
      </c>
      <c r="W14" s="199">
        <f t="shared" si="1"/>
        <v>1.4753400000000001</v>
      </c>
    </row>
    <row r="15" spans="1:23" ht="45" x14ac:dyDescent="0.2">
      <c r="A15" s="182">
        <v>6</v>
      </c>
      <c r="B15" s="18" t="s">
        <v>66</v>
      </c>
      <c r="C15" s="182">
        <v>0.7</v>
      </c>
      <c r="D15" s="182">
        <v>0.7</v>
      </c>
      <c r="E15" s="182">
        <v>0.7</v>
      </c>
      <c r="F15" s="182">
        <v>0.7</v>
      </c>
      <c r="G15" s="16">
        <v>0.7</v>
      </c>
      <c r="H15" s="16">
        <v>0.7</v>
      </c>
      <c r="I15" s="182">
        <v>0.7</v>
      </c>
      <c r="J15" s="209"/>
      <c r="K15" s="250" t="s">
        <v>188</v>
      </c>
      <c r="L15" s="205">
        <v>1.0549999999999999</v>
      </c>
      <c r="M15" s="206">
        <v>1.046</v>
      </c>
      <c r="N15" s="206">
        <v>1.046</v>
      </c>
      <c r="O15" s="206">
        <v>1.0469999999999999</v>
      </c>
      <c r="P15" s="206">
        <v>1.046</v>
      </c>
      <c r="Q15" s="206">
        <v>1.046</v>
      </c>
      <c r="R15" s="206">
        <v>1.04</v>
      </c>
      <c r="S15" s="206">
        <v>1.0309999999999999</v>
      </c>
      <c r="T15" s="206">
        <v>1.0289999999999999</v>
      </c>
      <c r="V15" s="199">
        <f t="shared" ref="V15" si="2">PRODUCT(L15:R15)</f>
        <v>1.3751800000000001</v>
      </c>
      <c r="W15" s="199">
        <f t="shared" ref="W15" si="3">PRODUCT(L15:Q15)</f>
        <v>1.32229</v>
      </c>
    </row>
    <row r="16" spans="1:23" ht="51" customHeight="1" x14ac:dyDescent="0.2">
      <c r="A16" s="182">
        <v>7</v>
      </c>
      <c r="B16" s="31" t="s">
        <v>67</v>
      </c>
      <c r="C16" s="32">
        <f>C14*C15</f>
        <v>0</v>
      </c>
      <c r="D16" s="32">
        <f>D14*D15</f>
        <v>11843628.1</v>
      </c>
      <c r="E16" s="32">
        <f>E14*E15</f>
        <v>44864891.780000001</v>
      </c>
      <c r="F16" s="32">
        <f>G16+H16</f>
        <v>2800453.66</v>
      </c>
      <c r="G16" s="21">
        <f>G14*G15</f>
        <v>16495.48</v>
      </c>
      <c r="H16" s="21">
        <f>H14*H15</f>
        <v>2783958.18</v>
      </c>
      <c r="I16" s="32">
        <f>SUM(C16:F16)</f>
        <v>59508973.539999999</v>
      </c>
      <c r="L16" s="210"/>
    </row>
    <row r="17" spans="1:13" ht="42.75" x14ac:dyDescent="0.2">
      <c r="A17" s="182">
        <v>8</v>
      </c>
      <c r="B17" s="31" t="s">
        <v>68</v>
      </c>
      <c r="C17" s="32">
        <f t="shared" ref="C17:H17" si="4">C16*1.18</f>
        <v>0</v>
      </c>
      <c r="D17" s="32">
        <f t="shared" si="4"/>
        <v>13975481.16</v>
      </c>
      <c r="E17" s="32">
        <f t="shared" si="4"/>
        <v>52940572.299999997</v>
      </c>
      <c r="F17" s="32">
        <f t="shared" si="4"/>
        <v>3304535.32</v>
      </c>
      <c r="G17" s="33">
        <f t="shared" si="4"/>
        <v>19464.669999999998</v>
      </c>
      <c r="H17" s="33">
        <f t="shared" si="4"/>
        <v>3285070.65</v>
      </c>
      <c r="I17" s="32">
        <f>SUM(C17:F17)</f>
        <v>70220588.780000001</v>
      </c>
      <c r="J17" s="253">
        <f>I16*1.18-I17</f>
        <v>0</v>
      </c>
      <c r="L17" s="210"/>
    </row>
    <row r="19" spans="1:13" ht="15" x14ac:dyDescent="0.25">
      <c r="J19" s="209">
        <f>K16*1.18</f>
        <v>0</v>
      </c>
      <c r="L19" s="211"/>
      <c r="M19" s="212"/>
    </row>
    <row r="23" spans="1:13" s="213" customFormat="1" ht="19.5" customHeight="1" x14ac:dyDescent="0.25">
      <c r="A23" s="34"/>
      <c r="B23" s="35" t="s">
        <v>195</v>
      </c>
      <c r="C23" s="36"/>
      <c r="D23" s="37" t="s">
        <v>183</v>
      </c>
      <c r="E23" s="38"/>
      <c r="F23" s="39"/>
      <c r="G23" s="39"/>
      <c r="H23" s="39"/>
    </row>
    <row r="24" spans="1:13" ht="22.15" customHeight="1" x14ac:dyDescent="0.2">
      <c r="A24" s="40"/>
      <c r="B24" s="179" t="s">
        <v>69</v>
      </c>
      <c r="C24" s="41"/>
      <c r="D24" s="293" t="s">
        <v>70</v>
      </c>
      <c r="E24" s="293"/>
      <c r="F24" s="42"/>
      <c r="G24" s="42"/>
      <c r="H24" s="42"/>
    </row>
    <row r="25" spans="1:13" s="214" customFormat="1" x14ac:dyDescent="0.2">
      <c r="B25" s="195"/>
      <c r="C25" s="215"/>
      <c r="D25" s="195"/>
      <c r="E25" s="195"/>
      <c r="F25" s="216"/>
      <c r="G25" s="216"/>
      <c r="H25" s="216"/>
      <c r="I25" s="216"/>
    </row>
    <row r="26" spans="1:13" s="214" customFormat="1" x14ac:dyDescent="0.2">
      <c r="B26" s="195"/>
      <c r="C26" s="215"/>
      <c r="D26" s="195"/>
      <c r="E26" s="195"/>
      <c r="F26" s="215"/>
      <c r="G26" s="215"/>
      <c r="H26" s="215"/>
      <c r="I26" s="215"/>
    </row>
    <row r="27" spans="1:13" s="220" customFormat="1" ht="15" x14ac:dyDescent="0.25">
      <c r="A27" s="217"/>
      <c r="B27" s="35" t="s">
        <v>71</v>
      </c>
      <c r="C27" s="218"/>
      <c r="D27" s="37" t="s">
        <v>96</v>
      </c>
      <c r="E27" s="213"/>
      <c r="F27" s="219"/>
      <c r="G27" s="219"/>
      <c r="H27" s="219"/>
      <c r="I27" s="219"/>
    </row>
    <row r="28" spans="1:13" s="215" customFormat="1" x14ac:dyDescent="0.2">
      <c r="B28" s="179" t="s">
        <v>69</v>
      </c>
      <c r="D28" s="43" t="s">
        <v>70</v>
      </c>
      <c r="E28" s="195"/>
    </row>
    <row r="32" spans="1:13" x14ac:dyDescent="0.2">
      <c r="D32" s="195">
        <f>D16/D9</f>
        <v>7.8592745537047399</v>
      </c>
      <c r="E32" s="195">
        <f>E16/E9</f>
        <v>4.2285110986785002</v>
      </c>
      <c r="G32" s="195">
        <f>G16/G9</f>
        <v>8.3352602324406302</v>
      </c>
      <c r="H32" s="195">
        <f>H16/H9</f>
        <v>17.677833035946701</v>
      </c>
    </row>
    <row r="33" spans="7:11" x14ac:dyDescent="0.2">
      <c r="H33" s="221" t="s">
        <v>197</v>
      </c>
      <c r="I33" s="221" t="s">
        <v>198</v>
      </c>
    </row>
    <row r="34" spans="7:11" x14ac:dyDescent="0.2">
      <c r="H34" s="209">
        <f>7441.53</f>
        <v>7441.53</v>
      </c>
      <c r="I34" s="209"/>
      <c r="J34" s="195" t="s">
        <v>196</v>
      </c>
    </row>
    <row r="35" spans="7:11" x14ac:dyDescent="0.2">
      <c r="H35" s="209">
        <f>9212153.54</f>
        <v>9212153.5399999991</v>
      </c>
      <c r="I35" s="209">
        <f>10870341.18</f>
        <v>10870341.18</v>
      </c>
      <c r="J35" s="195" t="s">
        <v>210</v>
      </c>
    </row>
    <row r="36" spans="7:11" x14ac:dyDescent="0.2">
      <c r="H36" s="209">
        <f>173591353.39</f>
        <v>173591353.38999999</v>
      </c>
      <c r="I36" s="209">
        <f>204837797</f>
        <v>204837797</v>
      </c>
      <c r="J36" s="195" t="s">
        <v>211</v>
      </c>
    </row>
    <row r="37" spans="7:11" x14ac:dyDescent="0.2">
      <c r="H37" s="209">
        <f>I16</f>
        <v>59508973.539999999</v>
      </c>
      <c r="I37" s="209">
        <f>I17</f>
        <v>70220588.780000001</v>
      </c>
      <c r="J37" s="195" t="s">
        <v>212</v>
      </c>
    </row>
    <row r="38" spans="7:11" x14ac:dyDescent="0.2">
      <c r="H38" s="209">
        <f>20226226.76</f>
        <v>20226226.760000002</v>
      </c>
      <c r="I38" s="209">
        <f>H38*1.18</f>
        <v>23866947.579999998</v>
      </c>
      <c r="J38" s="195" t="s">
        <v>213</v>
      </c>
    </row>
    <row r="39" spans="7:11" x14ac:dyDescent="0.2">
      <c r="H39" s="209">
        <f>SUM(H35:H38)*3.64%</f>
        <v>9556408.9399999995</v>
      </c>
      <c r="I39" s="209"/>
      <c r="J39" s="195" t="s">
        <v>214</v>
      </c>
    </row>
    <row r="40" spans="7:11" x14ac:dyDescent="0.2">
      <c r="H40" s="209">
        <f>SUM(H36:H38)*2.14%</f>
        <v>5421188.25</v>
      </c>
      <c r="I40" s="209"/>
      <c r="J40" s="195" t="s">
        <v>215</v>
      </c>
    </row>
    <row r="41" spans="7:11" x14ac:dyDescent="0.2">
      <c r="H41" s="209"/>
      <c r="I41" s="209"/>
    </row>
    <row r="44" spans="7:11" x14ac:dyDescent="0.2">
      <c r="G44" s="256">
        <f>H44/H46</f>
        <v>0.99519999999999997</v>
      </c>
      <c r="H44" s="209">
        <f>SUM(H34:H42)/1000</f>
        <v>277523.75</v>
      </c>
      <c r="I44" s="209">
        <f>SUM(I34:I42,H34,H39:H40)/1000</f>
        <v>324780.71000000002</v>
      </c>
      <c r="J44" s="195" t="s">
        <v>49</v>
      </c>
      <c r="K44" s="256">
        <f>I44/I46</f>
        <v>0.98699999999999999</v>
      </c>
    </row>
    <row r="46" spans="7:11" x14ac:dyDescent="0.2">
      <c r="H46" s="209">
        <f>278858.5</f>
        <v>278858.5</v>
      </c>
      <c r="I46" s="209">
        <f>329046.26</f>
        <v>329046.26</v>
      </c>
      <c r="J46" s="195" t="s">
        <v>199</v>
      </c>
    </row>
  </sheetData>
  <mergeCells count="24">
    <mergeCell ref="P5:P9"/>
    <mergeCell ref="B3:F3"/>
    <mergeCell ref="A5:A7"/>
    <mergeCell ref="B5:B7"/>
    <mergeCell ref="C5:C7"/>
    <mergeCell ref="D5:D7"/>
    <mergeCell ref="E5:E7"/>
    <mergeCell ref="F5:H5"/>
    <mergeCell ref="F6:F7"/>
    <mergeCell ref="G6:H6"/>
    <mergeCell ref="I5:I7"/>
    <mergeCell ref="L5:L9"/>
    <mergeCell ref="M5:M9"/>
    <mergeCell ref="N5:N9"/>
    <mergeCell ref="O5:O9"/>
    <mergeCell ref="H12:H13"/>
    <mergeCell ref="I12:I13"/>
    <mergeCell ref="D24:E24"/>
    <mergeCell ref="A12:A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ССР 2000 2Э</vt:lpstr>
      <vt:lpstr>ПРСС без оборуд.</vt:lpstr>
      <vt:lpstr>СТСР для Подрядчика</vt:lpstr>
      <vt:lpstr>-30% (без оборуд.)</vt:lpstr>
      <vt:lpstr>'-30% (без оборуд.)'!Область_печати</vt:lpstr>
      <vt:lpstr>'ПРСС без оборуд.'!Область_печати</vt:lpstr>
      <vt:lpstr>'ССР 2000 2Э'!Область_печати</vt:lpstr>
      <vt:lpstr>'СТСР для Подрядчика'!Область_печати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Сураева Любовь Васильевна</dc:creator>
  <cp:lastModifiedBy>Мосунов Дмитрий Александрович</cp:lastModifiedBy>
  <cp:lastPrinted>2018-05-08T15:14:53Z</cp:lastPrinted>
  <dcterms:created xsi:type="dcterms:W3CDTF">2018-04-16T04:42:12Z</dcterms:created>
  <dcterms:modified xsi:type="dcterms:W3CDTF">2018-05-13T14:24:08Z</dcterms:modified>
</cp:coreProperties>
</file>