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S-files\001\ОКС\ОБЩЕЕ\ГКПЗ\ГКПЗ 2018\2 квартал\СМР Тех. перевооружение ПС Фотон\ПД\"/>
    </mc:Choice>
  </mc:AlternateContent>
  <bookViews>
    <workbookView xWindow="480" yWindow="75" windowWidth="11340" windowHeight="9345" firstSheet="2" activeTab="2"/>
  </bookViews>
  <sheets>
    <sheet name="ССР база" sheetId="1" state="hidden" r:id="rId1"/>
    <sheet name="ССР проектный в тек. ценах" sheetId="5" state="hidden" r:id="rId2"/>
    <sheet name="ССР" sheetId="3" r:id="rId3"/>
    <sheet name="30% снижение" sheetId="4" state="hidden" r:id="rId4"/>
  </sheets>
  <definedNames>
    <definedName name="_xlnm.Print_Titles" localSheetId="0">'ССР база'!$25:$25</definedName>
    <definedName name="_xlnm.Print_Area" localSheetId="3">'30% снижение'!$A$1:$K$48</definedName>
    <definedName name="_xlnm.Print_Area" localSheetId="2">ССР!$A$1:$H$123</definedName>
    <definedName name="_xlnm.Print_Area" localSheetId="0">'ССР база'!$A$1:$H$79</definedName>
  </definedNames>
  <calcPr calcId="162913"/>
</workbook>
</file>

<file path=xl/calcChain.xml><?xml version="1.0" encoding="utf-8"?>
<calcChain xmlns="http://schemas.openxmlformats.org/spreadsheetml/2006/main">
  <c r="E27" i="4" l="1"/>
  <c r="F27" i="4"/>
  <c r="G27" i="4"/>
  <c r="H27" i="4"/>
  <c r="D27" i="4"/>
  <c r="H24" i="4" l="1"/>
  <c r="F24" i="4"/>
  <c r="A24" i="4" l="1"/>
  <c r="A25" i="4" s="1"/>
  <c r="A26" i="4" s="1"/>
  <c r="A27" i="4" s="1"/>
  <c r="A28" i="4" s="1"/>
  <c r="A29" i="4" s="1"/>
  <c r="A30" i="4" s="1"/>
  <c r="A31" i="4" s="1"/>
  <c r="B23" i="4"/>
  <c r="C23" i="4" s="1"/>
  <c r="D23" i="4" s="1"/>
  <c r="E23" i="4" s="1"/>
  <c r="F23" i="4" s="1"/>
  <c r="G23" i="4" s="1"/>
  <c r="H23" i="4" s="1"/>
  <c r="I23" i="4" s="1"/>
  <c r="J23" i="4" s="1"/>
  <c r="K23" i="4" s="1"/>
  <c r="G60" i="5" l="1"/>
  <c r="H60" i="5" s="1"/>
  <c r="F53" i="5"/>
  <c r="H52" i="5"/>
  <c r="H51" i="5"/>
  <c r="G50" i="5"/>
  <c r="H50" i="5" s="1"/>
  <c r="G49" i="5"/>
  <c r="H49" i="5" s="1"/>
  <c r="G48" i="5"/>
  <c r="G53" i="5" s="1"/>
  <c r="G54" i="5" s="1"/>
  <c r="D40" i="5"/>
  <c r="H40" i="5" s="1"/>
  <c r="D37" i="5"/>
  <c r="H37" i="5" s="1"/>
  <c r="F35" i="5"/>
  <c r="F42" i="5" s="1"/>
  <c r="F44" i="5" s="1"/>
  <c r="F54" i="5" s="1"/>
  <c r="F62" i="5" s="1"/>
  <c r="E34" i="5"/>
  <c r="D34" i="5"/>
  <c r="H34" i="5" s="1"/>
  <c r="E33" i="5"/>
  <c r="D33" i="5"/>
  <c r="H33" i="5" s="1"/>
  <c r="D32" i="5"/>
  <c r="H32" i="5" s="1"/>
  <c r="E31" i="5"/>
  <c r="D31" i="5"/>
  <c r="H31" i="5" s="1"/>
  <c r="F30" i="5"/>
  <c r="E30" i="5"/>
  <c r="E35" i="5" s="1"/>
  <c r="D30" i="5"/>
  <c r="D28" i="5"/>
  <c r="E27" i="5"/>
  <c r="E28" i="5" s="1"/>
  <c r="D27" i="5"/>
  <c r="H27" i="5" s="1"/>
  <c r="E42" i="5" l="1"/>
  <c r="E44" i="5" s="1"/>
  <c r="F64" i="5"/>
  <c r="F65" i="5"/>
  <c r="H28" i="5"/>
  <c r="H30" i="5"/>
  <c r="D35" i="5"/>
  <c r="H35" i="5" s="1"/>
  <c r="D38" i="5"/>
  <c r="H38" i="5" s="1"/>
  <c r="D41" i="5"/>
  <c r="H41" i="5" s="1"/>
  <c r="G61" i="5"/>
  <c r="H61" i="5" s="1"/>
  <c r="H48" i="5"/>
  <c r="F67" i="5" l="1"/>
  <c r="F68" i="5" s="1"/>
  <c r="E46" i="5"/>
  <c r="E47" i="5"/>
  <c r="D42" i="5"/>
  <c r="E53" i="5" l="1"/>
  <c r="E54" i="5" s="1"/>
  <c r="E62" i="5" s="1"/>
  <c r="H42" i="5"/>
  <c r="D44" i="5"/>
  <c r="I27" i="4"/>
  <c r="J27" i="4"/>
  <c r="D47" i="5" l="1"/>
  <c r="H47" i="5" s="1"/>
  <c r="H44" i="5"/>
  <c r="D46" i="5"/>
  <c r="E65" i="5"/>
  <c r="E64" i="5"/>
  <c r="I56" i="1"/>
  <c r="G30" i="4"/>
  <c r="G31" i="4" s="1"/>
  <c r="H26" i="4"/>
  <c r="J67" i="3"/>
  <c r="F26" i="4" s="1"/>
  <c r="H81" i="3"/>
  <c r="G53" i="3"/>
  <c r="G54" i="3" s="1"/>
  <c r="F53" i="3"/>
  <c r="H52" i="3"/>
  <c r="H51" i="3"/>
  <c r="H50" i="3"/>
  <c r="H49" i="3"/>
  <c r="H48" i="3"/>
  <c r="D41" i="3"/>
  <c r="H41" i="3" s="1"/>
  <c r="H40" i="3"/>
  <c r="D38" i="3"/>
  <c r="H38" i="3" s="1"/>
  <c r="H37" i="3"/>
  <c r="F35" i="3"/>
  <c r="F42" i="3" s="1"/>
  <c r="F44" i="3" s="1"/>
  <c r="E35" i="3"/>
  <c r="D35" i="3"/>
  <c r="H34" i="3"/>
  <c r="H33" i="3"/>
  <c r="H32" i="3"/>
  <c r="H31" i="3"/>
  <c r="H30" i="3"/>
  <c r="E28" i="3"/>
  <c r="D28" i="3"/>
  <c r="H27" i="3"/>
  <c r="E68" i="5" l="1"/>
  <c r="E67" i="5"/>
  <c r="D53" i="5"/>
  <c r="D54" i="5" s="1"/>
  <c r="H46" i="5"/>
  <c r="H53" i="5" s="1"/>
  <c r="G69" i="3"/>
  <c r="H69" i="3" s="1"/>
  <c r="H28" i="4"/>
  <c r="K67" i="3"/>
  <c r="K68" i="3" s="1"/>
  <c r="F28" i="4"/>
  <c r="F30" i="4" s="1"/>
  <c r="F31" i="4" s="1"/>
  <c r="D42" i="3"/>
  <c r="H35" i="3"/>
  <c r="E42" i="3"/>
  <c r="E44" i="3" s="1"/>
  <c r="E47" i="3" s="1"/>
  <c r="F54" i="3"/>
  <c r="F62" i="3" s="1"/>
  <c r="F64" i="3" s="1"/>
  <c r="D44" i="3"/>
  <c r="E46" i="3"/>
  <c r="H28" i="3"/>
  <c r="H54" i="5" l="1"/>
  <c r="D62" i="5"/>
  <c r="G26" i="4"/>
  <c r="H30" i="4"/>
  <c r="H31" i="4" s="1"/>
  <c r="E53" i="3"/>
  <c r="E54" i="3" s="1"/>
  <c r="E62" i="3" s="1"/>
  <c r="E64" i="3" s="1"/>
  <c r="G70" i="3"/>
  <c r="H70" i="3" s="1"/>
  <c r="F65" i="3"/>
  <c r="F66" i="3" s="1"/>
  <c r="H42" i="3"/>
  <c r="D46" i="3"/>
  <c r="D47" i="3"/>
  <c r="H47" i="3" s="1"/>
  <c r="H44" i="3"/>
  <c r="E24" i="4" l="1"/>
  <c r="E65" i="3"/>
  <c r="E66" i="3" s="1"/>
  <c r="G57" i="5"/>
  <c r="H57" i="5" s="1"/>
  <c r="G56" i="5"/>
  <c r="D64" i="5"/>
  <c r="E26" i="4"/>
  <c r="F68" i="3"/>
  <c r="H46" i="3"/>
  <c r="H53" i="3" s="1"/>
  <c r="D53" i="3"/>
  <c r="D54" i="3" s="1"/>
  <c r="G60" i="1"/>
  <c r="G61" i="1" s="1"/>
  <c r="H61" i="1" s="1"/>
  <c r="F53" i="1"/>
  <c r="G53" i="1"/>
  <c r="G54" i="1" s="1"/>
  <c r="D41" i="1"/>
  <c r="H41" i="1" s="1"/>
  <c r="H60" i="1"/>
  <c r="H52" i="1"/>
  <c r="H51" i="1"/>
  <c r="H50" i="1"/>
  <c r="H49" i="1"/>
  <c r="H48" i="1"/>
  <c r="H40" i="1"/>
  <c r="H37" i="1"/>
  <c r="D38" i="1"/>
  <c r="H38" i="1" s="1"/>
  <c r="E35" i="1"/>
  <c r="F35" i="1"/>
  <c r="F42" i="1" s="1"/>
  <c r="F44" i="1" s="1"/>
  <c r="D35" i="1"/>
  <c r="H31" i="1"/>
  <c r="H32" i="1"/>
  <c r="H33" i="1"/>
  <c r="H34" i="1"/>
  <c r="H30" i="1"/>
  <c r="H27" i="1"/>
  <c r="E28" i="1"/>
  <c r="D28" i="1"/>
  <c r="E67" i="3" l="1"/>
  <c r="E72" i="3" s="1"/>
  <c r="E73" i="3" s="1"/>
  <c r="E74" i="3" s="1"/>
  <c r="E75" i="3" s="1"/>
  <c r="E76" i="3" s="1"/>
  <c r="E77" i="3" s="1"/>
  <c r="E78" i="3" s="1"/>
  <c r="E79" i="3" s="1"/>
  <c r="E83" i="3" s="1"/>
  <c r="E84" i="3" s="1"/>
  <c r="E85" i="3" s="1"/>
  <c r="D65" i="5"/>
  <c r="H56" i="5"/>
  <c r="G58" i="5"/>
  <c r="E82" i="3"/>
  <c r="H68" i="3"/>
  <c r="F72" i="3"/>
  <c r="F73" i="3" s="1"/>
  <c r="F74" i="3" s="1"/>
  <c r="F75" i="3" s="1"/>
  <c r="E28" i="4"/>
  <c r="E30" i="4" s="1"/>
  <c r="E31" i="4" s="1"/>
  <c r="H54" i="3"/>
  <c r="D62" i="3"/>
  <c r="D64" i="3" s="1"/>
  <c r="E42" i="1"/>
  <c r="E44" i="1" s="1"/>
  <c r="F54" i="1"/>
  <c r="F62" i="1" s="1"/>
  <c r="H28" i="1"/>
  <c r="D42" i="1"/>
  <c r="D44" i="1" s="1"/>
  <c r="H35" i="1"/>
  <c r="H58" i="5" l="1"/>
  <c r="G62" i="5"/>
  <c r="D67" i="5"/>
  <c r="F76" i="3"/>
  <c r="F77" i="3" s="1"/>
  <c r="F78" i="3" s="1"/>
  <c r="F79" i="3" s="1"/>
  <c r="F83" i="3" s="1"/>
  <c r="F84" i="3" s="1"/>
  <c r="F85" i="3" s="1"/>
  <c r="D46" i="1"/>
  <c r="D47" i="1"/>
  <c r="F64" i="1"/>
  <c r="F65" i="1" s="1"/>
  <c r="F66" i="1" s="1"/>
  <c r="E46" i="1"/>
  <c r="E47" i="1"/>
  <c r="E53" i="1"/>
  <c r="E54" i="1" s="1"/>
  <c r="E62" i="1" s="1"/>
  <c r="E64" i="1" s="1"/>
  <c r="H42" i="1"/>
  <c r="H44" i="1"/>
  <c r="D65" i="3" l="1"/>
  <c r="D68" i="5"/>
  <c r="G65" i="5"/>
  <c r="G64" i="5"/>
  <c r="H64" i="5" s="1"/>
  <c r="H62" i="5"/>
  <c r="F82" i="3"/>
  <c r="D66" i="3"/>
  <c r="L67" i="3"/>
  <c r="H47" i="1"/>
  <c r="D53" i="1"/>
  <c r="D54" i="1" s="1"/>
  <c r="H46" i="1"/>
  <c r="E65" i="1"/>
  <c r="E66" i="1" s="1"/>
  <c r="D24" i="4" l="1"/>
  <c r="G68" i="5"/>
  <c r="H68" i="5" s="1"/>
  <c r="D6" i="5" s="1"/>
  <c r="G67" i="5"/>
  <c r="H67" i="5" s="1"/>
  <c r="H65" i="5"/>
  <c r="D67" i="3"/>
  <c r="K24" i="4"/>
  <c r="G71" i="3"/>
  <c r="G72" i="3" s="1"/>
  <c r="G73" i="3" s="1"/>
  <c r="M67" i="3"/>
  <c r="G62" i="3"/>
  <c r="G64" i="3" s="1"/>
  <c r="H53" i="1"/>
  <c r="D62" i="1"/>
  <c r="D64" i="1" s="1"/>
  <c r="H54" i="1"/>
  <c r="D26" i="4" l="1"/>
  <c r="D72" i="3"/>
  <c r="D73" i="3" s="1"/>
  <c r="D74" i="3" s="1"/>
  <c r="D75" i="3" s="1"/>
  <c r="H67" i="3"/>
  <c r="H71" i="3"/>
  <c r="H64" i="3"/>
  <c r="H62" i="3"/>
  <c r="G56" i="1"/>
  <c r="G57" i="1"/>
  <c r="D65" i="1"/>
  <c r="H57" i="1"/>
  <c r="J28" i="4" l="1"/>
  <c r="J30" i="4" s="1"/>
  <c r="J31" i="4" s="1"/>
  <c r="I28" i="4"/>
  <c r="I30" i="4" s="1"/>
  <c r="I31" i="4" s="1"/>
  <c r="D76" i="3"/>
  <c r="D77" i="3" s="1"/>
  <c r="D78" i="3" s="1"/>
  <c r="D79" i="3" s="1"/>
  <c r="D83" i="3" s="1"/>
  <c r="D84" i="3" s="1"/>
  <c r="D85" i="3" s="1"/>
  <c r="D28" i="4"/>
  <c r="H72" i="3"/>
  <c r="G65" i="3"/>
  <c r="D66" i="1"/>
  <c r="G58" i="1"/>
  <c r="H56" i="1"/>
  <c r="K28" i="4" l="1"/>
  <c r="K26" i="4"/>
  <c r="D30" i="4"/>
  <c r="K30" i="4" s="1"/>
  <c r="D82" i="3"/>
  <c r="G74" i="3"/>
  <c r="H73" i="3"/>
  <c r="G66" i="3"/>
  <c r="H66" i="3" s="1"/>
  <c r="H65" i="3"/>
  <c r="G62" i="1"/>
  <c r="G64" i="1" s="1"/>
  <c r="H64" i="1" s="1"/>
  <c r="H58" i="1"/>
  <c r="D31" i="4" l="1"/>
  <c r="K31" i="4" s="1"/>
  <c r="G75" i="3"/>
  <c r="G76" i="3" s="1"/>
  <c r="G77" i="3" s="1"/>
  <c r="G78" i="3" s="1"/>
  <c r="G79" i="3" s="1"/>
  <c r="G83" i="3" s="1"/>
  <c r="H74" i="3"/>
  <c r="H62" i="1"/>
  <c r="H75" i="3" l="1"/>
  <c r="G65" i="1"/>
  <c r="H65" i="1" s="1"/>
  <c r="H76" i="3" l="1"/>
  <c r="G66" i="1"/>
  <c r="H77" i="3" l="1"/>
  <c r="H66" i="1"/>
  <c r="D6" i="1" s="1"/>
  <c r="G82" i="3" l="1"/>
  <c r="H78" i="3"/>
  <c r="H79" i="3" l="1"/>
  <c r="H80" i="3" l="1"/>
  <c r="H82" i="3"/>
  <c r="G84" i="3" l="1"/>
  <c r="G85" i="3" s="1"/>
  <c r="H83" i="3"/>
  <c r="H85" i="3" l="1"/>
  <c r="H84" i="3"/>
</calcChain>
</file>

<file path=xl/sharedStrings.xml><?xml version="1.0" encoding="utf-8"?>
<sst xmlns="http://schemas.openxmlformats.org/spreadsheetml/2006/main" count="356" uniqueCount="190">
  <si>
    <t>(наименование стройки)</t>
  </si>
  <si>
    <t>№ пп</t>
  </si>
  <si>
    <t>монтажных работ</t>
  </si>
  <si>
    <t>оборудования, мебели, инвентаря</t>
  </si>
  <si>
    <t>прочих</t>
  </si>
  <si>
    <t>Форма № 1</t>
  </si>
  <si>
    <t>СВОДНЫЙ СМЕТНЫЙ РАСЧЕТ СТОИМОСТИ СТРОИТЕЛЬСТВА</t>
  </si>
  <si>
    <t xml:space="preserve">Заказчик </t>
  </si>
  <si>
    <t>(наименование организации)</t>
  </si>
  <si>
    <t>(ссылка на документ об утверждении)</t>
  </si>
  <si>
    <t>Номера сметных расчетов и смет</t>
  </si>
  <si>
    <t>Наименование глав, объектов, работ и затрат</t>
  </si>
  <si>
    <t>строитель-
ных работ</t>
  </si>
  <si>
    <t>"Утвержден" «    »________________2016 г.</t>
  </si>
  <si>
    <t>«    »________________2016 г.</t>
  </si>
  <si>
    <t>В том числе возвратных сумм  тыс. руб.</t>
  </si>
  <si>
    <t>Техническое перевооружение ПС 110/35/6 кВ Фотон (замена защиты и автоматики 1(2)Т, В-35 1(2)Т, СВ-35 кВ ВЛ-35 кВ (1,2,3,4), замена защиты и автоматики ВЛ-110 Таврическая, Прогресс, СВ-110 на ШЭ 2607, замена ограждения)</t>
  </si>
  <si>
    <t>Сметная стоимость, тыс. руб.</t>
  </si>
  <si>
    <t>Общая сметная стоимость, тыс. руб.</t>
  </si>
  <si>
    <t>Глава 1. Подготовка территории строительства</t>
  </si>
  <si>
    <t>01-01-01</t>
  </si>
  <si>
    <t>Демонтажные работы ПС 110/35/6 кВ Фотон</t>
  </si>
  <si>
    <t>Итого по Главе 1. "Подготовка территории строительства"</t>
  </si>
  <si>
    <t>Глава 2. Основные объекты строительства</t>
  </si>
  <si>
    <t>02-01</t>
  </si>
  <si>
    <t>02-02</t>
  </si>
  <si>
    <t>ОРУ ПС 110/35/6 кВ Фотон</t>
  </si>
  <si>
    <t>02-03-01</t>
  </si>
  <si>
    <t>Ограждение территории ПС 110/35/6 кВ Фотон</t>
  </si>
  <si>
    <t>02-04-01</t>
  </si>
  <si>
    <t>Электроосвещение наружное ПС 110/35/6 кВ Фотон</t>
  </si>
  <si>
    <t>02-05-01</t>
  </si>
  <si>
    <t>Охранная сигнализация ПС 110/35/6 кВ Фотон</t>
  </si>
  <si>
    <t>Итого по Главе 2. "Основные объекты строительства"</t>
  </si>
  <si>
    <t>Глава 5. Объекты транспортного хозяйства и связи</t>
  </si>
  <si>
    <t>05-01-01</t>
  </si>
  <si>
    <t>Автомобильная внутриплощадочная дорога ПС 110/35/6кВ Фотон</t>
  </si>
  <si>
    <t>Итого по Главе 5. "Объекты транспортного хозяйства и связи"</t>
  </si>
  <si>
    <t>Глава 7. Благоустройство и озеленение территории</t>
  </si>
  <si>
    <t>07-01-01</t>
  </si>
  <si>
    <t>Планировочная организация земельного участка ПС 110/35/6кВ Фотон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</si>
  <si>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</si>
  <si>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</si>
  <si>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</si>
  <si>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Итого по Главам 1-8</t>
  </si>
  <si>
    <t>Глава 9. Прочие работы и затраты</t>
  </si>
  <si>
    <t>ГСН-81-05-02-2007 п.2.4</t>
  </si>
  <si>
    <t>Производство работ в зимнее время - 4,3%*1,1*1,05=4,97%</t>
  </si>
  <si>
    <t>ГСН-81-05-02-2007 табл.2</t>
  </si>
  <si>
    <t>Снегоборьба - 0,4%</t>
  </si>
  <si>
    <t>09-01-01</t>
  </si>
  <si>
    <t>Техническая инвентаризация ПС110/35/6 кВ Фотон</t>
  </si>
  <si>
    <t>09-02-01</t>
  </si>
  <si>
    <t>Пусконаладочные работы  ПС 110/35/6 кВ Фотон</t>
  </si>
  <si>
    <t>09-03-01</t>
  </si>
  <si>
    <t>Затраты на перебазирование техники ПС 110/35/6 кВ Фотон</t>
  </si>
  <si>
    <t>Расчет №09-04</t>
  </si>
  <si>
    <t>Затраты по перевозке работников строительно-монтажных организаций автотранспортом</t>
  </si>
  <si>
    <t>Расчет №09-05</t>
  </si>
  <si>
    <t>Командировочные расходы</t>
  </si>
  <si>
    <t>Итого по Главе 9. "Прочие работы и затраты"</t>
  </si>
  <si>
    <t>Итого по Главам 1-9</t>
  </si>
  <si>
    <t>Глава 10. Содержание службы заказчика. Строительный контроль</t>
  </si>
  <si>
    <t>Затраты на содержание службы заказчика-застройщика (гл.1-9+гл.12) 4,75%, в том числе:</t>
  </si>
  <si>
    <t>Итого по Главе 10. "Содержание службы заказчика. Строительный контроль"</t>
  </si>
  <si>
    <t>Глава 12. Публичный технологический и ценовой аудит, проектные и изыскательские работы</t>
  </si>
  <si>
    <t>Приложение №3 к Договору подряда №18/1609/2016 Раздел 1</t>
  </si>
  <si>
    <t>Проектные работы (841242/3,92)</t>
  </si>
  <si>
    <t>Итого по Главе 12. "Публичный технологический и ценовой аудит, проектные и изыскательские работы"</t>
  </si>
  <si>
    <t>Итого по Главам 1-12</t>
  </si>
  <si>
    <t>Непредвиденные затраты</t>
  </si>
  <si>
    <t>МДС 81-35.2004 п.4.96</t>
  </si>
  <si>
    <t>Непредвиденные затраты - 3%</t>
  </si>
  <si>
    <t>Итого по сводному расчету</t>
  </si>
  <si>
    <t>Руководитель проектной организации: ___________________________Панфилов Е.А.</t>
  </si>
  <si>
    <t>(должность, подпись, расшифровка)</t>
  </si>
  <si>
    <t>ГИП: ___________________________Коренев А.С.</t>
  </si>
  <si>
    <t>Составил: ___________________________Белосветова Л.В.</t>
  </si>
  <si>
    <t>Итого с непредвиденными затратами</t>
  </si>
  <si>
    <t>Филиал АО "Тюменьэнерго" Когалымские электрические сети</t>
  </si>
  <si>
    <t>Сводный сметный расчет в сумме</t>
  </si>
  <si>
    <t>тыс.руб.</t>
  </si>
  <si>
    <t>Составлена в ценах по состоянию на 01.01.2000г.</t>
  </si>
  <si>
    <t>Составлена в ценах по состоянию на 3 кв. 2016</t>
  </si>
  <si>
    <t>Налоги и обязательные платежи</t>
  </si>
  <si>
    <t>МДС 81-35.2004 п.4.100</t>
  </si>
  <si>
    <t>НДС 18%</t>
  </si>
  <si>
    <t>Всего по сводному расчету в текущих ценах с НДС</t>
  </si>
  <si>
    <t xml:space="preserve"> </t>
  </si>
  <si>
    <t>Исходные данные Заказчика</t>
  </si>
  <si>
    <t>Постановление Правительства №468 от 21.06.2010г.</t>
  </si>
  <si>
    <t>ОПУ-1, ОПУ-2, аккумуляторная ПС 110/35/6 кВ Фотон</t>
  </si>
  <si>
    <t xml:space="preserve">Проектные работы </t>
  </si>
  <si>
    <t>Строительный контроль (гл.1-9) 2,14%</t>
  </si>
  <si>
    <t xml:space="preserve">Письмо Минстроя России от 13.08.2015г. №25760-ЮР/08 </t>
  </si>
  <si>
    <t>СМР=7,10</t>
  </si>
  <si>
    <t>ОБ=3,82</t>
  </si>
  <si>
    <t>ПНР=15,97</t>
  </si>
  <si>
    <t>ПИР=3,53</t>
  </si>
  <si>
    <t>ПРОЧ=7,53</t>
  </si>
  <si>
    <t>Итого в ценах 2012г.</t>
  </si>
  <si>
    <t>Перевод в цены 2013г.                     И=1,06              Без ПИР</t>
  </si>
  <si>
    <t>Перевод в цены 2014г.                     И=1,049           Без ПИР</t>
  </si>
  <si>
    <t>Перевод в цены 2015г.                     И=1,143           Без ПИР</t>
  </si>
  <si>
    <t>Перевод в цены 2020г.                     И=1,039         Без ПИР</t>
  </si>
  <si>
    <t>ПИР по факту</t>
  </si>
  <si>
    <t>Всего по сводному расчету</t>
  </si>
  <si>
    <t>НДС - 18%</t>
  </si>
  <si>
    <t>Итого "Налоги и обязательные платежи"</t>
  </si>
  <si>
    <t>ПНР</t>
  </si>
  <si>
    <t>ПИР</t>
  </si>
  <si>
    <t>поч</t>
  </si>
  <si>
    <t>всего</t>
  </si>
  <si>
    <t>№ п/п</t>
  </si>
  <si>
    <t>ПИР по договору факт</t>
  </si>
  <si>
    <t>СМР</t>
  </si>
  <si>
    <t>Оборудование</t>
  </si>
  <si>
    <t>Итого</t>
  </si>
  <si>
    <t>ГОД</t>
  </si>
  <si>
    <t>2014 г.</t>
  </si>
  <si>
    <t>2015 г.</t>
  </si>
  <si>
    <t>2016 г.</t>
  </si>
  <si>
    <t>2017 г.</t>
  </si>
  <si>
    <t xml:space="preserve">2018 г. </t>
  </si>
  <si>
    <t xml:space="preserve">2019 г. </t>
  </si>
  <si>
    <t xml:space="preserve">2020 г. </t>
  </si>
  <si>
    <t xml:space="preserve">2021 г. </t>
  </si>
  <si>
    <t xml:space="preserve">2022 г. </t>
  </si>
  <si>
    <t xml:space="preserve">2023 г. </t>
  </si>
  <si>
    <t>Индексы изменения сметной стоимости 4 кв. 2012г. По письму Минрегиона России от 03.12.2012г. №2836-ИП/12/ГС</t>
  </si>
  <si>
    <t>Стоимость строительства в ценах 4 кв. 2012г.</t>
  </si>
  <si>
    <t>Коэффициент снижения   инвестиционных затрат</t>
  </si>
  <si>
    <t>Плановая стоимость объекта в прогнозных ценах года окончания строительства</t>
  </si>
  <si>
    <t>Плановая стоимость объекта с учетом снижения инвестиционных затрат</t>
  </si>
  <si>
    <t>Плановая стоимость объекта с учетом снижения инвестиционных затрат с НДС</t>
  </si>
  <si>
    <t>Ю. В. Горлов</t>
  </si>
  <si>
    <t>Согласовал: начальник ОКС</t>
  </si>
  <si>
    <t>Составил: инженер I категории ОКС</t>
  </si>
  <si>
    <t>И.Р. Ибрагимов</t>
  </si>
  <si>
    <t>Перевод в цены 2016г.                     И=1,081           Без ПИР</t>
  </si>
  <si>
    <t>Перевод в цены 2017г.                     И=1,054          Без ПИР</t>
  </si>
  <si>
    <t>Перевод в цены 2018г.                     И=1,044         Без ПИР</t>
  </si>
  <si>
    <t>Перевод в цены 2019г.                     И=1,046         Без ПИР</t>
  </si>
  <si>
    <t>Наименование разделов, объектов, работ и затрат</t>
  </si>
  <si>
    <t>ПИР факт</t>
  </si>
  <si>
    <t>Прочие без ПИР, ПНР,ЗЗ,СК</t>
  </si>
  <si>
    <t>Содержание службы заказчика- застройщика 4,75% от итога глав 1-9 и 12</t>
  </si>
  <si>
    <t>Прочие затраты в том числе:</t>
  </si>
  <si>
    <t>Стоимость строительства в базовых ценах 2000 года</t>
  </si>
  <si>
    <t>Ю.В. Горлов</t>
  </si>
  <si>
    <t>Месторасположение объекта:  ХМАО</t>
  </si>
  <si>
    <t>1. Базовая стоимость в ценах 2001 года рассчитана в сметно-нормативной базе   ФЕР</t>
  </si>
  <si>
    <t>3. В соответствии с методикой планирования снижения инвестиционных затрат на 30 процентов относительно уровня 2012 года при формировании инвестиционной программы, утвержденной приказом АО "Тюменьэнерго"  от 08.04.2016 № 170</t>
  </si>
  <si>
    <t>Срок реализации: начало 2016г. окончание 2019г.</t>
  </si>
  <si>
    <t>Составил: инженер ОКС</t>
  </si>
  <si>
    <t>М. Г. Князева</t>
  </si>
  <si>
    <t>Проверил: начальник ОКС</t>
  </si>
  <si>
    <t>Согласовано:</t>
  </si>
  <si>
    <t>Начальник СЦиЭСД ДКС</t>
  </si>
  <si>
    <t>АО "Тюменьэнерго"</t>
  </si>
  <si>
    <t>Л.Ю. Манюгина</t>
  </si>
  <si>
    <t>в том числе Строительный контроль 2,14% от суммы Глав 1-9</t>
  </si>
  <si>
    <t xml:space="preserve">2. По ССР   утвержденному  приказом АО "Тюменьэнерго" от 20.04.2017г.  №527/1    </t>
  </si>
  <si>
    <t xml:space="preserve">Перевод в цены 2013г.                     И=1,06             </t>
  </si>
  <si>
    <t xml:space="preserve">Перевод в цены 2014г.                     И=1,049          </t>
  </si>
  <si>
    <t xml:space="preserve">Перевод в цены 2015г.                     И=1,143           </t>
  </si>
  <si>
    <t>Расчет 30% снижения по объекту:</t>
  </si>
  <si>
    <t>Коэффициент снижения инвестиционных затрат, соответствующий году ввода объекта в эксплуатацию (2019г.)</t>
  </si>
  <si>
    <t>Непредвиденные затраты - 1,5%</t>
  </si>
  <si>
    <t>Индексы дефляторы Минэкономразвития от 2012г. до года ввода объекта в эксплуатацию (2019г.) 1,06*1,049*1,143*1,081*1,054*1,044*1,046</t>
  </si>
  <si>
    <t xml:space="preserve">Перевод в цены 2016г.                     И=1,081          </t>
  </si>
  <si>
    <t xml:space="preserve">Перевод в цены 2017г.                     И=1,054         </t>
  </si>
  <si>
    <t xml:space="preserve">Перевод в цены 2018г.                     И=1,044         </t>
  </si>
  <si>
    <t>Перевод в цены 2019г.                     И=1,046</t>
  </si>
  <si>
    <t>Выполнение работ по техническому перевооружению ПС 110/35/6 кВ Фотон филиала АО "Тюменьэнерго" Когалымские электрические сети</t>
  </si>
  <si>
    <t>к договору подряда №</t>
  </si>
  <si>
    <t xml:space="preserve">от </t>
  </si>
  <si>
    <t>СВОДНАЯ ТАБЛИЦА СТОИМОСТИ РАБОТ</t>
  </si>
  <si>
    <t>Составлена в базисных ценах 2001 года с пересчетом в текущие цены</t>
  </si>
  <si>
    <t>Письмо Минстроя РФ №_____ от _____г.</t>
  </si>
  <si>
    <t xml:space="preserve">Перевод в текущие цены </t>
  </si>
  <si>
    <t>СМР=</t>
  </si>
  <si>
    <t>ОБ=</t>
  </si>
  <si>
    <t>ПНР=</t>
  </si>
  <si>
    <t>ПРОЧ=</t>
  </si>
  <si>
    <t>Итого по сводной таблице стоимости работсчету</t>
  </si>
  <si>
    <t>Всего по  сводной таблице стоимости работ</t>
  </si>
  <si>
    <t>Подрядчик:</t>
  </si>
  <si>
    <t>Заказчик:</t>
  </si>
  <si>
    <t>Приложение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</si>
</sst>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\ _₽_-;\-* #,##0.000\ _₽_-;_-* &quot;-&quot;???\ _₽_-;_-@_-"/>
    <numFmt numFmtId="167" formatCode="#,##0.000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name val="Times New Roman CYR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  <xf numFmtId="0" fontId="2" fillId="0" borderId="0"/>
    <xf numFmtId="0" fontId="4" fillId="0" borderId="0"/>
    <xf numFmtId="0" fontId="2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166" fontId="4" fillId="0" borderId="2" xfId="0" applyNumberFormat="1" applyFont="1" applyBorder="1" applyAlignment="1">
      <alignment horizontal="right" vertical="top" wrapText="1"/>
    </xf>
    <xf numFmtId="165" fontId="4" fillId="0" borderId="2" xfId="1" applyNumberFormat="1" applyFont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165" fontId="4" fillId="2" borderId="2" xfId="1" applyNumberFormat="1" applyFont="1" applyFill="1" applyBorder="1" applyAlignment="1">
      <alignment horizontal="right" vertical="top" wrapText="1"/>
    </xf>
    <xf numFmtId="165" fontId="4" fillId="2" borderId="2" xfId="1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/>
    </xf>
    <xf numFmtId="166" fontId="4" fillId="2" borderId="2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left" vertical="top" wrapText="1"/>
    </xf>
    <xf numFmtId="166" fontId="6" fillId="2" borderId="2" xfId="0" applyNumberFormat="1" applyFont="1" applyFill="1" applyBorder="1" applyAlignment="1">
      <alignment horizontal="right" vertical="top" wrapText="1"/>
    </xf>
    <xf numFmtId="165" fontId="6" fillId="2" borderId="2" xfId="1" applyNumberFormat="1" applyFont="1" applyFill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left" vertical="center" wrapText="1"/>
    </xf>
    <xf numFmtId="165" fontId="4" fillId="2" borderId="2" xfId="1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/>
    <xf numFmtId="0" fontId="4" fillId="0" borderId="0" xfId="0" applyFont="1" applyBorder="1"/>
    <xf numFmtId="0" fontId="8" fillId="2" borderId="2" xfId="0" applyFont="1" applyFill="1" applyBorder="1" applyAlignment="1">
      <alignment horizontal="center" vertical="top"/>
    </xf>
    <xf numFmtId="49" fontId="8" fillId="2" borderId="2" xfId="0" applyNumberFormat="1" applyFont="1" applyFill="1" applyBorder="1" applyAlignment="1">
      <alignment horizontal="left" vertical="top" wrapText="1"/>
    </xf>
    <xf numFmtId="0" fontId="8" fillId="0" borderId="0" xfId="0" applyFont="1"/>
    <xf numFmtId="0" fontId="0" fillId="2" borderId="0" xfId="0" applyFill="1"/>
    <xf numFmtId="0" fontId="8" fillId="2" borderId="0" xfId="0" applyFont="1" applyFill="1"/>
    <xf numFmtId="0" fontId="12" fillId="0" borderId="2" xfId="0" applyFont="1" applyBorder="1"/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167" fontId="8" fillId="0" borderId="10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7" fontId="8" fillId="0" borderId="11" xfId="0" applyNumberFormat="1" applyFont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167" fontId="8" fillId="0" borderId="13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8" fillId="0" borderId="0" xfId="0" applyFont="1" applyAlignment="1">
      <alignment horizontal="right" vertical="center"/>
    </xf>
    <xf numFmtId="166" fontId="4" fillId="0" borderId="0" xfId="0" applyNumberFormat="1" applyFont="1"/>
    <xf numFmtId="0" fontId="8" fillId="0" borderId="15" xfId="0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 wrapText="1"/>
    </xf>
    <xf numFmtId="49" fontId="17" fillId="0" borderId="2" xfId="6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167" fontId="8" fillId="2" borderId="2" xfId="5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49" fontId="16" fillId="0" borderId="0" xfId="0" applyNumberFormat="1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right" vertical="top"/>
    </xf>
    <xf numFmtId="49" fontId="4" fillId="2" borderId="2" xfId="0" applyNumberFormat="1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right" vertical="top" wrapText="1"/>
    </xf>
    <xf numFmtId="167" fontId="4" fillId="0" borderId="2" xfId="1" applyNumberFormat="1" applyFont="1" applyBorder="1" applyAlignment="1">
      <alignment horizontal="right" vertical="top" wrapText="1"/>
    </xf>
    <xf numFmtId="167" fontId="8" fillId="2" borderId="2" xfId="0" applyNumberFormat="1" applyFont="1" applyFill="1" applyBorder="1" applyAlignment="1">
      <alignment horizontal="right" vertical="center"/>
    </xf>
    <xf numFmtId="167" fontId="8" fillId="2" borderId="2" xfId="0" applyNumberFormat="1" applyFont="1" applyFill="1" applyBorder="1"/>
    <xf numFmtId="4" fontId="8" fillId="2" borderId="2" xfId="0" applyNumberFormat="1" applyFont="1" applyFill="1" applyBorder="1" applyAlignment="1">
      <alignment horizontal="center" vertical="center"/>
    </xf>
    <xf numFmtId="0" fontId="0" fillId="2" borderId="18" xfId="0" applyFill="1" applyBorder="1"/>
    <xf numFmtId="0" fontId="8" fillId="0" borderId="22" xfId="0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/>
    </xf>
    <xf numFmtId="0" fontId="8" fillId="0" borderId="0" xfId="8" applyFont="1" applyFill="1"/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9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right" vertical="top"/>
    </xf>
    <xf numFmtId="0" fontId="0" fillId="2" borderId="0" xfId="0" applyFont="1" applyFill="1"/>
    <xf numFmtId="4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22" fillId="2" borderId="0" xfId="0" applyFont="1" applyFill="1"/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5" fillId="0" borderId="2" xfId="0" applyNumberFormat="1" applyFont="1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10" fillId="2" borderId="8" xfId="3" applyFont="1" applyFill="1" applyBorder="1" applyAlignment="1">
      <alignment horizontal="left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7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2" borderId="19" xfId="5" applyFill="1" applyBorder="1" applyAlignment="1">
      <alignment horizontal="center"/>
    </xf>
    <xf numFmtId="0" fontId="15" fillId="2" borderId="20" xfId="5" applyFill="1" applyBorder="1" applyAlignment="1">
      <alignment horizontal="center"/>
    </xf>
    <xf numFmtId="0" fontId="15" fillId="2" borderId="21" xfId="5" applyFill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0" xfId="7" applyFont="1" applyFill="1" applyAlignment="1">
      <alignment horizontal="left" wrapText="1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6" fillId="0" borderId="0" xfId="6" applyFont="1" applyAlignment="1">
      <alignment horizontal="left"/>
    </xf>
    <xf numFmtId="0" fontId="16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6"/>
    <cellStyle name="Обычный 2 2 2" xfId="7"/>
    <cellStyle name="Обычный 3" xfId="4"/>
    <cellStyle name="Обычный 8" xfId="5"/>
    <cellStyle name="Обычный_замена КС на ПС Н Сартымская" xfId="8"/>
    <cellStyle name="Обычный_ССР ПС Русскинская 83 474,58" xfId="3"/>
    <cellStyle name="Финансовый" xfId="1" builtinId="3"/>
    <cellStyle name="Финансов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2600325</xdr:colOff>
      <xdr:row>73</xdr:row>
      <xdr:rowOff>28575</xdr:rowOff>
    </xdr:from>
    <xdr:to>
      <xdr:col>2</xdr:col>
      <xdr:colOff>2600587</xdr:colOff>
      <xdr:row>75</xdr:row>
      <xdr:rowOff>86425</xdr:rowOff>
    </xdr:to>
    <xdr:pic>
      <xdr:nvPicPr>
        <xdr:cNvPr id="2" name="Рисунок 1" descr="Подпись ГИПа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14087475"/>
          <a:ext cx="262" cy="381700"/>
        </a:xfrm>
        <a:prstGeom prst="rect">
          <a:avLst/>
        </a:prstGeom>
      </xdr:spPr>
    </xdr:pic>
    <xdr:clientData/>
  </xdr:twoCellAnchor>
  <xdr:twoCellAnchor editAs="oneCell">
    <xdr:from>
      <xdr:col>2</xdr:col>
      <xdr:colOff>2638425</xdr:colOff>
      <xdr:row>77</xdr:row>
      <xdr:rowOff>47625</xdr:rowOff>
    </xdr:from>
    <xdr:to>
      <xdr:col>2</xdr:col>
      <xdr:colOff>2638806</xdr:colOff>
      <xdr:row>79</xdr:row>
      <xdr:rowOff>56008</xdr:rowOff>
    </xdr:to>
    <xdr:pic>
      <xdr:nvPicPr>
        <xdr:cNvPr id="3" name="Рисунок 2" descr="Подпись Белосветовой-ч.б.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50" y="14754225"/>
          <a:ext cx="381" cy="332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79"/>
  <sheetViews>
    <sheetView showGridLines="0" view="pageBreakPreview" zoomScale="60" zoomScaleNormal="100" workbookViewId="0">
      <selection sqref="A1:H12"/>
    </sheetView>
  </sheetViews>
  <sheetFormatPr defaultRowHeight="12.75" x14ac:dyDescent="0.2"/>
  <cols>
    <col min="1" max="1" width="5" style="1" customWidth="1"/>
    <col min="2" max="2" width="27.140625" style="2" customWidth="1"/>
    <col min="3" max="3" width="65.140625" style="2" customWidth="1"/>
    <col min="4" max="4" width="15.85546875" style="8" customWidth="1"/>
    <col min="5" max="5" width="13" style="8" customWidth="1"/>
    <col min="6" max="6" width="13.42578125" style="8" customWidth="1"/>
    <col min="7" max="7" width="12.5703125" style="8" customWidth="1"/>
    <col min="8" max="8" width="13.42578125" style="8" customWidth="1"/>
    <col min="9" max="9" width="10.28515625" style="5" bestFit="1" customWidth="1"/>
    <col min="10" max="16384" width="9.140625" style="5"/>
  </cols>
  <sheetData>
    <row r="1" spans="2:8" x14ac:dyDescent="0.2">
      <c r="D1" s="3"/>
      <c r="E1" s="3"/>
      <c r="F1" s="3"/>
      <c r="G1" s="3"/>
      <c r="H1" s="4" t="s">
        <v>5</v>
      </c>
    </row>
    <row r="2" spans="2:8" x14ac:dyDescent="0.2">
      <c r="B2" s="2" t="s">
        <v>7</v>
      </c>
      <c r="C2" s="13"/>
      <c r="D2" s="23" t="s">
        <v>79</v>
      </c>
      <c r="E2" s="6"/>
      <c r="F2" s="6"/>
      <c r="G2" s="6"/>
      <c r="H2" s="3"/>
    </row>
    <row r="3" spans="2:8" x14ac:dyDescent="0.2">
      <c r="D3" s="7" t="s">
        <v>8</v>
      </c>
      <c r="F3" s="3"/>
      <c r="G3" s="3"/>
      <c r="H3" s="3"/>
    </row>
    <row r="4" spans="2:8" x14ac:dyDescent="0.2">
      <c r="B4" s="2" t="s">
        <v>13</v>
      </c>
      <c r="C4" s="14"/>
      <c r="D4" s="3"/>
      <c r="E4" s="7"/>
      <c r="F4" s="3"/>
      <c r="G4" s="3"/>
      <c r="H4" s="3"/>
    </row>
    <row r="5" spans="2:8" x14ac:dyDescent="0.2">
      <c r="D5" s="3"/>
      <c r="E5" s="7"/>
      <c r="F5" s="3"/>
      <c r="G5" s="3"/>
      <c r="H5" s="3"/>
    </row>
    <row r="6" spans="2:8" x14ac:dyDescent="0.2">
      <c r="C6" s="27" t="s">
        <v>80</v>
      </c>
      <c r="D6" s="29">
        <f>H66</f>
        <v>12954.207542535893</v>
      </c>
      <c r="E6" s="28" t="s">
        <v>81</v>
      </c>
      <c r="F6" s="3"/>
      <c r="G6" s="3"/>
      <c r="H6" s="3"/>
    </row>
    <row r="7" spans="2:8" x14ac:dyDescent="0.2">
      <c r="C7" s="27" t="s">
        <v>15</v>
      </c>
      <c r="D7" s="28"/>
      <c r="E7" s="28"/>
      <c r="F7" s="3"/>
      <c r="G7" s="3"/>
      <c r="H7" s="3"/>
    </row>
    <row r="8" spans="2:8" x14ac:dyDescent="0.2">
      <c r="C8" s="13"/>
      <c r="D8" s="6"/>
      <c r="E8" s="9"/>
      <c r="F8" s="6"/>
      <c r="G8" s="6"/>
      <c r="H8" s="3"/>
    </row>
    <row r="9" spans="2:8" x14ac:dyDescent="0.2">
      <c r="D9" s="7" t="s">
        <v>9</v>
      </c>
      <c r="F9" s="3"/>
      <c r="G9" s="3"/>
      <c r="H9" s="3"/>
    </row>
    <row r="10" spans="2:8" x14ac:dyDescent="0.2">
      <c r="D10" s="3"/>
      <c r="E10" s="7"/>
      <c r="F10" s="3"/>
      <c r="G10" s="3"/>
      <c r="H10" s="3"/>
    </row>
    <row r="11" spans="2:8" x14ac:dyDescent="0.2">
      <c r="B11" s="2" t="s">
        <v>14</v>
      </c>
      <c r="H11" s="3"/>
    </row>
    <row r="12" spans="2:8" x14ac:dyDescent="0.2">
      <c r="G12" s="3"/>
      <c r="H12" s="3"/>
    </row>
    <row r="13" spans="2:8" x14ac:dyDescent="0.2">
      <c r="D13" s="10" t="s">
        <v>6</v>
      </c>
      <c r="F13" s="3"/>
      <c r="G13" s="3"/>
      <c r="H13" s="3"/>
    </row>
    <row r="14" spans="2:8" x14ac:dyDescent="0.2">
      <c r="D14" s="11"/>
      <c r="F14" s="3"/>
      <c r="G14" s="3"/>
      <c r="H14" s="3"/>
    </row>
    <row r="15" spans="2:8" ht="30.75" customHeight="1" x14ac:dyDescent="0.2">
      <c r="B15" s="147" t="s">
        <v>16</v>
      </c>
      <c r="C15" s="147"/>
      <c r="D15" s="147"/>
      <c r="E15" s="147"/>
      <c r="F15" s="147"/>
      <c r="G15" s="147"/>
      <c r="H15" s="147"/>
    </row>
    <row r="16" spans="2:8" x14ac:dyDescent="0.2">
      <c r="D16" s="12" t="s">
        <v>0</v>
      </c>
      <c r="F16" s="3"/>
      <c r="G16" s="3"/>
      <c r="H16" s="3"/>
    </row>
    <row r="17" spans="1:8" x14ac:dyDescent="0.2">
      <c r="H17" s="3"/>
    </row>
    <row r="18" spans="1:8" x14ac:dyDescent="0.2">
      <c r="B18" s="27" t="s">
        <v>82</v>
      </c>
      <c r="D18" s="11"/>
      <c r="E18" s="3"/>
      <c r="F18" s="3"/>
      <c r="G18" s="3"/>
      <c r="H18" s="3"/>
    </row>
    <row r="19" spans="1:8" hidden="1" x14ac:dyDescent="0.2">
      <c r="D19" s="11"/>
      <c r="E19" s="3"/>
      <c r="F19" s="3"/>
      <c r="G19" s="3"/>
      <c r="H19" s="3"/>
    </row>
    <row r="20" spans="1:8" hidden="1" x14ac:dyDescent="0.2">
      <c r="D20" s="3"/>
      <c r="E20" s="3"/>
      <c r="F20" s="3"/>
      <c r="G20" s="3"/>
      <c r="H20" s="3"/>
    </row>
    <row r="21" spans="1:8" ht="12.75" customHeight="1" x14ac:dyDescent="0.2">
      <c r="A21" s="131" t="s">
        <v>1</v>
      </c>
      <c r="B21" s="132" t="s">
        <v>10</v>
      </c>
      <c r="C21" s="132" t="s">
        <v>11</v>
      </c>
      <c r="D21" s="133" t="s">
        <v>17</v>
      </c>
      <c r="E21" s="133"/>
      <c r="F21" s="133"/>
      <c r="G21" s="133"/>
      <c r="H21" s="131" t="s">
        <v>18</v>
      </c>
    </row>
    <row r="22" spans="1:8" x14ac:dyDescent="0.2">
      <c r="A22" s="131"/>
      <c r="B22" s="132"/>
      <c r="C22" s="132"/>
      <c r="D22" s="131" t="s">
        <v>12</v>
      </c>
      <c r="E22" s="131" t="s">
        <v>2</v>
      </c>
      <c r="F22" s="131" t="s">
        <v>3</v>
      </c>
      <c r="G22" s="131" t="s">
        <v>4</v>
      </c>
      <c r="H22" s="131"/>
    </row>
    <row r="23" spans="1:8" x14ac:dyDescent="0.2">
      <c r="A23" s="131"/>
      <c r="B23" s="132"/>
      <c r="C23" s="132"/>
      <c r="D23" s="131"/>
      <c r="E23" s="131"/>
      <c r="F23" s="131"/>
      <c r="G23" s="131"/>
      <c r="H23" s="131"/>
    </row>
    <row r="24" spans="1:8" x14ac:dyDescent="0.2">
      <c r="A24" s="131"/>
      <c r="B24" s="132"/>
      <c r="C24" s="132"/>
      <c r="D24" s="131"/>
      <c r="E24" s="131"/>
      <c r="F24" s="131"/>
      <c r="G24" s="131"/>
      <c r="H24" s="131"/>
    </row>
    <row r="25" spans="1:8" x14ac:dyDescent="0.2">
      <c r="A25" s="15">
        <v>1</v>
      </c>
      <c r="B25" s="16">
        <v>2</v>
      </c>
      <c r="C25" s="16">
        <v>3</v>
      </c>
      <c r="D25" s="15">
        <v>4</v>
      </c>
      <c r="E25" s="15">
        <v>5</v>
      </c>
      <c r="F25" s="15">
        <v>6</v>
      </c>
      <c r="G25" s="15">
        <v>7</v>
      </c>
      <c r="H25" s="15">
        <v>8</v>
      </c>
    </row>
    <row r="26" spans="1:8" x14ac:dyDescent="0.2">
      <c r="A26" s="137" t="s">
        <v>19</v>
      </c>
      <c r="B26" s="138"/>
      <c r="C26" s="138"/>
      <c r="D26" s="139"/>
      <c r="E26" s="139"/>
      <c r="F26" s="139"/>
      <c r="G26" s="139"/>
      <c r="H26" s="139"/>
    </row>
    <row r="27" spans="1:8" x14ac:dyDescent="0.2">
      <c r="A27" s="31">
        <v>1</v>
      </c>
      <c r="B27" s="32" t="s">
        <v>20</v>
      </c>
      <c r="C27" s="32" t="s">
        <v>21</v>
      </c>
      <c r="D27" s="33">
        <v>30.588000000000001</v>
      </c>
      <c r="E27" s="33">
        <v>44.421999999999997</v>
      </c>
      <c r="F27" s="34"/>
      <c r="G27" s="34"/>
      <c r="H27" s="33">
        <f>SUM(D27:G27)</f>
        <v>75.009999999999991</v>
      </c>
    </row>
    <row r="28" spans="1:8" ht="27.95" customHeight="1" x14ac:dyDescent="0.2">
      <c r="A28" s="35"/>
      <c r="B28" s="140" t="s">
        <v>22</v>
      </c>
      <c r="C28" s="141"/>
      <c r="D28" s="33">
        <f>SUM(D27)</f>
        <v>30.588000000000001</v>
      </c>
      <c r="E28" s="33">
        <f>SUM(E27)</f>
        <v>44.421999999999997</v>
      </c>
      <c r="F28" s="34"/>
      <c r="G28" s="34"/>
      <c r="H28" s="33">
        <f>SUM(D28:G28)</f>
        <v>75.009999999999991</v>
      </c>
    </row>
    <row r="29" spans="1:8" x14ac:dyDescent="0.2">
      <c r="A29" s="134" t="s">
        <v>23</v>
      </c>
      <c r="B29" s="135"/>
      <c r="C29" s="135"/>
      <c r="D29" s="136"/>
      <c r="E29" s="136"/>
      <c r="F29" s="136"/>
      <c r="G29" s="136"/>
      <c r="H29" s="136"/>
    </row>
    <row r="30" spans="1:8" x14ac:dyDescent="0.2">
      <c r="A30" s="31">
        <v>2</v>
      </c>
      <c r="B30" s="32" t="s">
        <v>24</v>
      </c>
      <c r="C30" s="32" t="s">
        <v>91</v>
      </c>
      <c r="D30" s="33">
        <v>115.678</v>
      </c>
      <c r="E30" s="33">
        <v>705.55399999999997</v>
      </c>
      <c r="F30" s="33">
        <v>8048.1530000000002</v>
      </c>
      <c r="G30" s="34"/>
      <c r="H30" s="33">
        <f>SUM(D30:G30)</f>
        <v>8869.3850000000002</v>
      </c>
    </row>
    <row r="31" spans="1:8" x14ac:dyDescent="0.2">
      <c r="A31" s="31">
        <v>3</v>
      </c>
      <c r="B31" s="32" t="s">
        <v>25</v>
      </c>
      <c r="C31" s="32" t="s">
        <v>26</v>
      </c>
      <c r="D31" s="33">
        <v>444.65899999999999</v>
      </c>
      <c r="E31" s="33">
        <v>1179.059</v>
      </c>
      <c r="F31" s="33"/>
      <c r="G31" s="34"/>
      <c r="H31" s="33">
        <f t="shared" ref="H31:H62" si="0">SUM(D31:G31)</f>
        <v>1623.7179999999998</v>
      </c>
    </row>
    <row r="32" spans="1:8" x14ac:dyDescent="0.2">
      <c r="A32" s="31">
        <v>4</v>
      </c>
      <c r="B32" s="32" t="s">
        <v>27</v>
      </c>
      <c r="C32" s="32" t="s">
        <v>28</v>
      </c>
      <c r="D32" s="33">
        <v>249.61699999999999</v>
      </c>
      <c r="E32" s="34"/>
      <c r="F32" s="34"/>
      <c r="G32" s="34"/>
      <c r="H32" s="33">
        <f t="shared" si="0"/>
        <v>249.61699999999999</v>
      </c>
    </row>
    <row r="33" spans="1:8" x14ac:dyDescent="0.2">
      <c r="A33" s="31">
        <v>5</v>
      </c>
      <c r="B33" s="32" t="s">
        <v>29</v>
      </c>
      <c r="C33" s="32" t="s">
        <v>30</v>
      </c>
      <c r="D33" s="33">
        <v>0.02</v>
      </c>
      <c r="E33" s="33">
        <v>73.956999999999994</v>
      </c>
      <c r="F33" s="34"/>
      <c r="G33" s="34"/>
      <c r="H33" s="33">
        <f t="shared" si="0"/>
        <v>73.97699999999999</v>
      </c>
    </row>
    <row r="34" spans="1:8" x14ac:dyDescent="0.2">
      <c r="A34" s="31">
        <v>6</v>
      </c>
      <c r="B34" s="32" t="s">
        <v>31</v>
      </c>
      <c r="C34" s="32" t="s">
        <v>32</v>
      </c>
      <c r="D34" s="33">
        <v>1.5920000000000001</v>
      </c>
      <c r="E34" s="33">
        <v>14.041</v>
      </c>
      <c r="F34" s="34"/>
      <c r="G34" s="34"/>
      <c r="H34" s="33">
        <f t="shared" si="0"/>
        <v>15.633000000000001</v>
      </c>
    </row>
    <row r="35" spans="1:8" ht="27.95" customHeight="1" x14ac:dyDescent="0.2">
      <c r="A35" s="35"/>
      <c r="B35" s="140" t="s">
        <v>33</v>
      </c>
      <c r="C35" s="141"/>
      <c r="D35" s="33">
        <f>SUM(D30:D34)</f>
        <v>811.56599999999992</v>
      </c>
      <c r="E35" s="33">
        <f t="shared" ref="E35:F35" si="1">SUM(E30:E34)</f>
        <v>1972.6109999999996</v>
      </c>
      <c r="F35" s="33">
        <f t="shared" si="1"/>
        <v>8048.1530000000002</v>
      </c>
      <c r="G35" s="34"/>
      <c r="H35" s="33">
        <f t="shared" si="0"/>
        <v>10832.33</v>
      </c>
    </row>
    <row r="36" spans="1:8" x14ac:dyDescent="0.2">
      <c r="A36" s="134" t="s">
        <v>34</v>
      </c>
      <c r="B36" s="135"/>
      <c r="C36" s="135"/>
      <c r="D36" s="136"/>
      <c r="E36" s="136"/>
      <c r="F36" s="136"/>
      <c r="G36" s="136"/>
      <c r="H36" s="136"/>
    </row>
    <row r="37" spans="1:8" ht="15.75" customHeight="1" x14ac:dyDescent="0.2">
      <c r="A37" s="31">
        <v>7</v>
      </c>
      <c r="B37" s="32" t="s">
        <v>35</v>
      </c>
      <c r="C37" s="32" t="s">
        <v>36</v>
      </c>
      <c r="D37" s="33">
        <v>110.102</v>
      </c>
      <c r="E37" s="34"/>
      <c r="F37" s="34"/>
      <c r="G37" s="34"/>
      <c r="H37" s="33">
        <f t="shared" si="0"/>
        <v>110.102</v>
      </c>
    </row>
    <row r="38" spans="1:8" ht="27.95" customHeight="1" x14ac:dyDescent="0.2">
      <c r="A38" s="35"/>
      <c r="B38" s="140" t="s">
        <v>37</v>
      </c>
      <c r="C38" s="141"/>
      <c r="D38" s="33">
        <f>D37</f>
        <v>110.102</v>
      </c>
      <c r="E38" s="34"/>
      <c r="F38" s="34"/>
      <c r="G38" s="34"/>
      <c r="H38" s="33">
        <f t="shared" si="0"/>
        <v>110.102</v>
      </c>
    </row>
    <row r="39" spans="1:8" x14ac:dyDescent="0.2">
      <c r="A39" s="134" t="s">
        <v>38</v>
      </c>
      <c r="B39" s="135"/>
      <c r="C39" s="135"/>
      <c r="D39" s="136"/>
      <c r="E39" s="136"/>
      <c r="F39" s="136"/>
      <c r="G39" s="136"/>
      <c r="H39" s="136"/>
    </row>
    <row r="40" spans="1:8" ht="14.25" customHeight="1" x14ac:dyDescent="0.2">
      <c r="A40" s="31">
        <v>8</v>
      </c>
      <c r="B40" s="32" t="s">
        <v>39</v>
      </c>
      <c r="C40" s="32" t="s">
        <v>40</v>
      </c>
      <c r="D40" s="46">
        <v>203.43100000000001</v>
      </c>
      <c r="E40" s="37"/>
      <c r="F40" s="37"/>
      <c r="G40" s="37"/>
      <c r="H40" s="33">
        <f t="shared" si="0"/>
        <v>203.43100000000001</v>
      </c>
    </row>
    <row r="41" spans="1:8" ht="27.95" customHeight="1" x14ac:dyDescent="0.2">
      <c r="A41" s="35"/>
      <c r="B41" s="140" t="s">
        <v>41</v>
      </c>
      <c r="C41" s="141"/>
      <c r="D41" s="46">
        <f>D40</f>
        <v>203.43100000000001</v>
      </c>
      <c r="E41" s="37"/>
      <c r="F41" s="37"/>
      <c r="G41" s="37"/>
      <c r="H41" s="33">
        <f t="shared" si="0"/>
        <v>203.43100000000001</v>
      </c>
    </row>
    <row r="42" spans="1:8" x14ac:dyDescent="0.2">
      <c r="A42" s="35"/>
      <c r="B42" s="140" t="s">
        <v>42</v>
      </c>
      <c r="C42" s="141"/>
      <c r="D42" s="38">
        <f>D28+D35+D38+D41</f>
        <v>1155.6869999999999</v>
      </c>
      <c r="E42" s="38">
        <f t="shared" ref="E42:F42" si="2">E28+E35+E38+E41</f>
        <v>2017.0329999999997</v>
      </c>
      <c r="F42" s="38">
        <f t="shared" si="2"/>
        <v>8048.1530000000002</v>
      </c>
      <c r="G42" s="37"/>
      <c r="H42" s="33">
        <f t="shared" si="0"/>
        <v>11220.873</v>
      </c>
    </row>
    <row r="43" spans="1:8" x14ac:dyDescent="0.2">
      <c r="A43" s="134" t="s">
        <v>43</v>
      </c>
      <c r="B43" s="135"/>
      <c r="C43" s="135"/>
      <c r="D43" s="136"/>
      <c r="E43" s="136"/>
      <c r="F43" s="136"/>
      <c r="G43" s="136"/>
      <c r="H43" s="136"/>
    </row>
    <row r="44" spans="1:8" x14ac:dyDescent="0.2">
      <c r="A44" s="35"/>
      <c r="B44" s="140" t="s">
        <v>44</v>
      </c>
      <c r="C44" s="141"/>
      <c r="D44" s="38">
        <f>D42</f>
        <v>1155.6869999999999</v>
      </c>
      <c r="E44" s="38">
        <f t="shared" ref="E44:F44" si="3">E42</f>
        <v>2017.0329999999997</v>
      </c>
      <c r="F44" s="38">
        <f t="shared" si="3"/>
        <v>8048.1530000000002</v>
      </c>
      <c r="G44" s="37"/>
      <c r="H44" s="33">
        <f t="shared" si="0"/>
        <v>11220.873</v>
      </c>
    </row>
    <row r="45" spans="1:8" x14ac:dyDescent="0.2">
      <c r="A45" s="134" t="s">
        <v>45</v>
      </c>
      <c r="B45" s="135"/>
      <c r="C45" s="135"/>
      <c r="D45" s="136"/>
      <c r="E45" s="136"/>
      <c r="F45" s="136"/>
      <c r="G45" s="136"/>
      <c r="H45" s="136"/>
    </row>
    <row r="46" spans="1:8" ht="15.75" customHeight="1" x14ac:dyDescent="0.2">
      <c r="A46" s="31">
        <v>9</v>
      </c>
      <c r="B46" s="32" t="s">
        <v>46</v>
      </c>
      <c r="C46" s="32" t="s">
        <v>47</v>
      </c>
      <c r="D46" s="33">
        <f>D44*4.97%</f>
        <v>57.437643899999991</v>
      </c>
      <c r="E46" s="33">
        <f>E44*4.97%</f>
        <v>100.24654009999998</v>
      </c>
      <c r="F46" s="34"/>
      <c r="G46" s="34"/>
      <c r="H46" s="33">
        <f t="shared" si="0"/>
        <v>157.68418399999996</v>
      </c>
    </row>
    <row r="47" spans="1:8" ht="15.75" customHeight="1" x14ac:dyDescent="0.2">
      <c r="A47" s="31">
        <v>10</v>
      </c>
      <c r="B47" s="32" t="s">
        <v>48</v>
      </c>
      <c r="C47" s="32" t="s">
        <v>49</v>
      </c>
      <c r="D47" s="33">
        <f>D44*0.4%</f>
        <v>4.6227479999999996</v>
      </c>
      <c r="E47" s="33">
        <f>E44*0.4%</f>
        <v>8.0681319999999985</v>
      </c>
      <c r="F47" s="34"/>
      <c r="G47" s="34"/>
      <c r="H47" s="33">
        <f t="shared" si="0"/>
        <v>12.690879999999998</v>
      </c>
    </row>
    <row r="48" spans="1:8" x14ac:dyDescent="0.2">
      <c r="A48" s="31">
        <v>11</v>
      </c>
      <c r="B48" s="32" t="s">
        <v>50</v>
      </c>
      <c r="C48" s="32" t="s">
        <v>51</v>
      </c>
      <c r="D48" s="34"/>
      <c r="E48" s="34"/>
      <c r="F48" s="34"/>
      <c r="G48" s="33">
        <v>24.122</v>
      </c>
      <c r="H48" s="33">
        <f t="shared" si="0"/>
        <v>24.122</v>
      </c>
    </row>
    <row r="49" spans="1:9" x14ac:dyDescent="0.2">
      <c r="A49" s="31">
        <v>12</v>
      </c>
      <c r="B49" s="32" t="s">
        <v>52</v>
      </c>
      <c r="C49" s="32" t="s">
        <v>53</v>
      </c>
      <c r="D49" s="34"/>
      <c r="E49" s="34"/>
      <c r="F49" s="34"/>
      <c r="G49" s="33">
        <v>281.03800000000001</v>
      </c>
      <c r="H49" s="33">
        <f t="shared" si="0"/>
        <v>281.03800000000001</v>
      </c>
    </row>
    <row r="50" spans="1:9" ht="13.5" customHeight="1" x14ac:dyDescent="0.2">
      <c r="A50" s="31">
        <v>13</v>
      </c>
      <c r="B50" s="32" t="s">
        <v>54</v>
      </c>
      <c r="C50" s="32" t="s">
        <v>55</v>
      </c>
      <c r="D50" s="34"/>
      <c r="E50" s="34"/>
      <c r="F50" s="34"/>
      <c r="G50" s="33">
        <v>16.922999999999998</v>
      </c>
      <c r="H50" s="33">
        <f t="shared" si="0"/>
        <v>16.922999999999998</v>
      </c>
    </row>
    <row r="51" spans="1:9" ht="25.5" x14ac:dyDescent="0.2">
      <c r="A51" s="31">
        <v>14</v>
      </c>
      <c r="B51" s="32" t="s">
        <v>56</v>
      </c>
      <c r="C51" s="32" t="s">
        <v>57</v>
      </c>
      <c r="D51" s="34"/>
      <c r="E51" s="34"/>
      <c r="F51" s="34"/>
      <c r="G51" s="33">
        <v>37.609000000000002</v>
      </c>
      <c r="H51" s="33">
        <f t="shared" si="0"/>
        <v>37.609000000000002</v>
      </c>
    </row>
    <row r="52" spans="1:9" x14ac:dyDescent="0.2">
      <c r="A52" s="31">
        <v>15</v>
      </c>
      <c r="B52" s="32" t="s">
        <v>58</v>
      </c>
      <c r="C52" s="32" t="s">
        <v>59</v>
      </c>
      <c r="D52" s="34"/>
      <c r="E52" s="34"/>
      <c r="F52" s="34"/>
      <c r="G52" s="33">
        <v>41.045000000000002</v>
      </c>
      <c r="H52" s="33">
        <f t="shared" si="0"/>
        <v>41.045000000000002</v>
      </c>
    </row>
    <row r="53" spans="1:9" x14ac:dyDescent="0.2">
      <c r="A53" s="35"/>
      <c r="B53" s="140" t="s">
        <v>60</v>
      </c>
      <c r="C53" s="141"/>
      <c r="D53" s="33">
        <f>SUM(D46:D52)</f>
        <v>62.060391899999992</v>
      </c>
      <c r="E53" s="33">
        <f t="shared" ref="E53:H53" si="4">SUM(E46:E52)</f>
        <v>108.31467209999997</v>
      </c>
      <c r="F53" s="33">
        <f t="shared" si="4"/>
        <v>0</v>
      </c>
      <c r="G53" s="33">
        <f t="shared" si="4"/>
        <v>400.73700000000002</v>
      </c>
      <c r="H53" s="33">
        <f t="shared" si="4"/>
        <v>571.11206399999992</v>
      </c>
    </row>
    <row r="54" spans="1:9" x14ac:dyDescent="0.2">
      <c r="A54" s="35"/>
      <c r="B54" s="140" t="s">
        <v>61</v>
      </c>
      <c r="C54" s="141"/>
      <c r="D54" s="33">
        <f>D44+D53</f>
        <v>1217.7473918999999</v>
      </c>
      <c r="E54" s="33">
        <f t="shared" ref="E54:G54" si="5">E44+E53</f>
        <v>2125.3476720999997</v>
      </c>
      <c r="F54" s="33">
        <f t="shared" si="5"/>
        <v>8048.1530000000002</v>
      </c>
      <c r="G54" s="33">
        <f t="shared" si="5"/>
        <v>400.73700000000002</v>
      </c>
      <c r="H54" s="33">
        <f t="shared" si="0"/>
        <v>11791.985063999999</v>
      </c>
    </row>
    <row r="55" spans="1:9" x14ac:dyDescent="0.2">
      <c r="A55" s="134" t="s">
        <v>62</v>
      </c>
      <c r="B55" s="135"/>
      <c r="C55" s="135"/>
      <c r="D55" s="136"/>
      <c r="E55" s="136"/>
      <c r="F55" s="136"/>
      <c r="G55" s="136"/>
      <c r="H55" s="136"/>
    </row>
    <row r="56" spans="1:9" ht="24.75" customHeight="1" x14ac:dyDescent="0.2">
      <c r="A56" s="31">
        <v>16</v>
      </c>
      <c r="B56" s="32" t="s">
        <v>89</v>
      </c>
      <c r="C56" s="32" t="s">
        <v>63</v>
      </c>
      <c r="D56" s="37"/>
      <c r="E56" s="37"/>
      <c r="F56" s="37"/>
      <c r="G56" s="38">
        <f>H54*4.75%+H61*4.75%</f>
        <v>570.31291171346936</v>
      </c>
      <c r="H56" s="33">
        <f t="shared" si="0"/>
        <v>570.31291171346936</v>
      </c>
      <c r="I56" s="82">
        <f>G56-G57</f>
        <v>317.96443134386936</v>
      </c>
    </row>
    <row r="57" spans="1:9" ht="39.75" customHeight="1" x14ac:dyDescent="0.2">
      <c r="A57" s="39"/>
      <c r="B57" s="40" t="s">
        <v>90</v>
      </c>
      <c r="C57" s="40" t="s">
        <v>93</v>
      </c>
      <c r="D57" s="37"/>
      <c r="E57" s="37"/>
      <c r="F57" s="37"/>
      <c r="G57" s="41">
        <f>H54*2.14%</f>
        <v>252.3484803696</v>
      </c>
      <c r="H57" s="33">
        <f t="shared" si="0"/>
        <v>252.3484803696</v>
      </c>
    </row>
    <row r="58" spans="1:9" ht="27.95" customHeight="1" x14ac:dyDescent="0.2">
      <c r="A58" s="35"/>
      <c r="B58" s="140" t="s">
        <v>64</v>
      </c>
      <c r="C58" s="141"/>
      <c r="D58" s="37"/>
      <c r="E58" s="37"/>
      <c r="F58" s="37"/>
      <c r="G58" s="38">
        <f>G56</f>
        <v>570.31291171346936</v>
      </c>
      <c r="H58" s="33">
        <f t="shared" si="0"/>
        <v>570.31291171346936</v>
      </c>
    </row>
    <row r="59" spans="1:9" x14ac:dyDescent="0.2">
      <c r="A59" s="134" t="s">
        <v>65</v>
      </c>
      <c r="B59" s="135"/>
      <c r="C59" s="135"/>
      <c r="D59" s="136"/>
      <c r="E59" s="136"/>
      <c r="F59" s="136"/>
      <c r="G59" s="136"/>
      <c r="H59" s="136"/>
    </row>
    <row r="60" spans="1:9" ht="41.25" customHeight="1" x14ac:dyDescent="0.2">
      <c r="A60" s="31">
        <v>17</v>
      </c>
      <c r="B60" s="32" t="s">
        <v>66</v>
      </c>
      <c r="C60" s="32" t="s">
        <v>67</v>
      </c>
      <c r="D60" s="37"/>
      <c r="E60" s="37"/>
      <c r="F60" s="37"/>
      <c r="G60" s="33">
        <f>841242/3.92/1000</f>
        <v>214.60255102040816</v>
      </c>
      <c r="H60" s="33">
        <f t="shared" si="0"/>
        <v>214.60255102040816</v>
      </c>
    </row>
    <row r="61" spans="1:9" ht="27.95" customHeight="1" x14ac:dyDescent="0.2">
      <c r="A61" s="35"/>
      <c r="B61" s="140" t="s">
        <v>68</v>
      </c>
      <c r="C61" s="141"/>
      <c r="D61" s="37"/>
      <c r="E61" s="37"/>
      <c r="F61" s="37"/>
      <c r="G61" s="33">
        <f>G60</f>
        <v>214.60255102040816</v>
      </c>
      <c r="H61" s="33">
        <f t="shared" si="0"/>
        <v>214.60255102040816</v>
      </c>
    </row>
    <row r="62" spans="1:9" x14ac:dyDescent="0.2">
      <c r="A62" s="35"/>
      <c r="B62" s="140" t="s">
        <v>69</v>
      </c>
      <c r="C62" s="141"/>
      <c r="D62" s="38">
        <f>D54+D58+D61</f>
        <v>1217.7473918999999</v>
      </c>
      <c r="E62" s="38">
        <f t="shared" ref="E62:G62" si="6">E54+E58+E61</f>
        <v>2125.3476720999997</v>
      </c>
      <c r="F62" s="38">
        <f t="shared" si="6"/>
        <v>8048.1530000000002</v>
      </c>
      <c r="G62" s="38">
        <f t="shared" si="6"/>
        <v>1185.6524627338774</v>
      </c>
      <c r="H62" s="33">
        <f t="shared" si="0"/>
        <v>12576.900526733876</v>
      </c>
    </row>
    <row r="63" spans="1:9" x14ac:dyDescent="0.2">
      <c r="A63" s="134" t="s">
        <v>70</v>
      </c>
      <c r="B63" s="135"/>
      <c r="C63" s="135"/>
      <c r="D63" s="136"/>
      <c r="E63" s="136"/>
      <c r="F63" s="136"/>
      <c r="G63" s="136"/>
      <c r="H63" s="136"/>
    </row>
    <row r="64" spans="1:9" x14ac:dyDescent="0.2">
      <c r="A64" s="17">
        <v>18</v>
      </c>
      <c r="B64" s="18" t="s">
        <v>71</v>
      </c>
      <c r="C64" s="18" t="s">
        <v>72</v>
      </c>
      <c r="D64" s="25">
        <f>D62*3%</f>
        <v>36.532421756999994</v>
      </c>
      <c r="E64" s="25">
        <f>E62*3%</f>
        <v>63.760430162999988</v>
      </c>
      <c r="F64" s="25">
        <f>F62*3%</f>
        <v>241.44459000000001</v>
      </c>
      <c r="G64" s="25">
        <f>G62*3%</f>
        <v>35.569573882016321</v>
      </c>
      <c r="H64" s="26">
        <f>SUM(D64:G64)</f>
        <v>377.30701580201628</v>
      </c>
    </row>
    <row r="65" spans="1:8" x14ac:dyDescent="0.2">
      <c r="A65" s="19"/>
      <c r="B65" s="144" t="s">
        <v>78</v>
      </c>
      <c r="C65" s="138"/>
      <c r="D65" s="25">
        <f>D62+D64</f>
        <v>1254.279813657</v>
      </c>
      <c r="E65" s="25">
        <f t="shared" ref="E65:G65" si="7">E62+E64</f>
        <v>2189.1081022629996</v>
      </c>
      <c r="F65" s="25">
        <f t="shared" si="7"/>
        <v>8289.5975899999994</v>
      </c>
      <c r="G65" s="25">
        <f t="shared" si="7"/>
        <v>1221.2220366158938</v>
      </c>
      <c r="H65" s="26">
        <f>SUM(D65:G65)</f>
        <v>12954.207542535893</v>
      </c>
    </row>
    <row r="66" spans="1:8" x14ac:dyDescent="0.2">
      <c r="A66" s="19"/>
      <c r="B66" s="144" t="s">
        <v>73</v>
      </c>
      <c r="C66" s="145"/>
      <c r="D66" s="25">
        <f>D65</f>
        <v>1254.279813657</v>
      </c>
      <c r="E66" s="25">
        <f t="shared" ref="E66:G66" si="8">E65</f>
        <v>2189.1081022629996</v>
      </c>
      <c r="F66" s="25">
        <f t="shared" si="8"/>
        <v>8289.5975899999994</v>
      </c>
      <c r="G66" s="25">
        <f t="shared" si="8"/>
        <v>1221.2220366158938</v>
      </c>
      <c r="H66" s="26">
        <f>SUM(D66:G66)</f>
        <v>12954.207542535893</v>
      </c>
    </row>
    <row r="69" spans="1:8" s="22" customFormat="1" x14ac:dyDescent="0.2">
      <c r="A69" s="20"/>
      <c r="B69" s="21"/>
      <c r="C69" s="21"/>
      <c r="D69" s="24"/>
      <c r="E69" s="24"/>
      <c r="F69" s="24"/>
      <c r="G69" s="24"/>
      <c r="H69" s="24"/>
    </row>
    <row r="70" spans="1:8" x14ac:dyDescent="0.2">
      <c r="A70" s="146" t="s">
        <v>74</v>
      </c>
      <c r="B70" s="143"/>
      <c r="C70" s="143"/>
      <c r="D70" s="143"/>
      <c r="E70" s="143"/>
      <c r="F70" s="143"/>
      <c r="G70" s="143"/>
      <c r="H70" s="143"/>
    </row>
    <row r="71" spans="1:8" x14ac:dyDescent="0.2">
      <c r="A71" s="142" t="s">
        <v>75</v>
      </c>
      <c r="B71" s="143"/>
      <c r="C71" s="143"/>
      <c r="D71" s="143"/>
      <c r="E71" s="143"/>
      <c r="F71" s="143"/>
      <c r="G71" s="143"/>
      <c r="H71" s="143"/>
    </row>
    <row r="73" spans="1:8" s="22" customFormat="1" x14ac:dyDescent="0.2">
      <c r="A73" s="20"/>
      <c r="B73" s="21"/>
      <c r="C73" s="21"/>
      <c r="D73" s="24"/>
      <c r="E73" s="24"/>
      <c r="F73" s="24"/>
      <c r="G73" s="24"/>
      <c r="H73" s="24"/>
    </row>
    <row r="74" spans="1:8" x14ac:dyDescent="0.2">
      <c r="A74" s="146" t="s">
        <v>76</v>
      </c>
      <c r="B74" s="143"/>
      <c r="C74" s="143"/>
      <c r="D74" s="143"/>
      <c r="E74" s="143"/>
      <c r="F74" s="143"/>
      <c r="G74" s="143"/>
      <c r="H74" s="143"/>
    </row>
    <row r="75" spans="1:8" x14ac:dyDescent="0.2">
      <c r="A75" s="142" t="s">
        <v>75</v>
      </c>
      <c r="B75" s="143"/>
      <c r="C75" s="143"/>
      <c r="D75" s="143"/>
      <c r="E75" s="143"/>
      <c r="F75" s="143"/>
      <c r="G75" s="143"/>
      <c r="H75" s="143"/>
    </row>
    <row r="77" spans="1:8" s="22" customFormat="1" x14ac:dyDescent="0.2">
      <c r="A77" s="20"/>
      <c r="B77" s="21"/>
      <c r="C77" s="21"/>
      <c r="D77" s="24"/>
      <c r="E77" s="24"/>
      <c r="F77" s="24"/>
      <c r="G77" s="24"/>
      <c r="H77" s="24"/>
    </row>
    <row r="78" spans="1:8" x14ac:dyDescent="0.2">
      <c r="A78" s="146" t="s">
        <v>77</v>
      </c>
      <c r="B78" s="143"/>
      <c r="C78" s="143"/>
      <c r="D78" s="143"/>
      <c r="E78" s="143"/>
      <c r="F78" s="143"/>
      <c r="G78" s="143"/>
      <c r="H78" s="143"/>
    </row>
    <row r="79" spans="1:8" x14ac:dyDescent="0.2">
      <c r="A79" s="142" t="s">
        <v>75</v>
      </c>
      <c r="B79" s="143"/>
      <c r="C79" s="143"/>
      <c r="D79" s="143"/>
      <c r="E79" s="143"/>
      <c r="F79" s="143"/>
      <c r="G79" s="143"/>
      <c r="H79" s="143"/>
    </row>
  </sheetData>
  <mergeCells count="38">
    <mergeCell ref="B15:H15"/>
    <mergeCell ref="A71:H71"/>
    <mergeCell ref="A74:H74"/>
    <mergeCell ref="A75:H75"/>
    <mergeCell ref="A78:H78"/>
    <mergeCell ref="B53:C53"/>
    <mergeCell ref="B54:C54"/>
    <mergeCell ref="A55:H55"/>
    <mergeCell ref="B58:C58"/>
    <mergeCell ref="A59:H59"/>
    <mergeCell ref="B61:C61"/>
    <mergeCell ref="A39:H39"/>
    <mergeCell ref="B41:C41"/>
    <mergeCell ref="B42:C42"/>
    <mergeCell ref="A43:H43"/>
    <mergeCell ref="B44:C44"/>
    <mergeCell ref="A79:H79"/>
    <mergeCell ref="B62:C62"/>
    <mergeCell ref="A63:H63"/>
    <mergeCell ref="B65:C65"/>
    <mergeCell ref="B66:C66"/>
    <mergeCell ref="A70:H70"/>
    <mergeCell ref="A45:H45"/>
    <mergeCell ref="A26:H26"/>
    <mergeCell ref="B28:C28"/>
    <mergeCell ref="A29:H29"/>
    <mergeCell ref="B35:C35"/>
    <mergeCell ref="A36:H36"/>
    <mergeCell ref="B38:C38"/>
    <mergeCell ref="H21:H24"/>
    <mergeCell ref="A21:A24"/>
    <mergeCell ref="B21:B24"/>
    <mergeCell ref="C21:C24"/>
    <mergeCell ref="D22:D24"/>
    <mergeCell ref="D21:G21"/>
    <mergeCell ref="E22:E24"/>
    <mergeCell ref="F22:F24"/>
    <mergeCell ref="G22:G24"/>
  </mergeCells>
  <phoneticPr fontId="0" type="noConversion"/>
  <pageMargins left="0.78740157480314965" right="0.39370078740157483" top="0.43307086614173229" bottom="0.47244094488188981" header="0.23622047244094491" footer="0.23622047244094491"/>
  <pageSetup paperSize="9" scale="82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view="pageBreakPreview" topLeftCell="A30" zoomScale="60" zoomScaleNormal="100" workbookViewId="0">
      <selection activeCell="AD64" sqref="AD64"/>
    </sheetView>
  </sheetViews>
  <sheetFormatPr defaultRowHeight="12.75" x14ac:dyDescent="0.2"/>
  <cols>
    <col min="1" max="1" width="5" style="20" customWidth="1"/>
    <col min="2" max="2" width="27.140625" style="27" customWidth="1"/>
    <col min="3" max="3" width="65.140625" style="27" customWidth="1"/>
    <col min="4" max="4" width="15.85546875" style="24" customWidth="1"/>
    <col min="5" max="5" width="13" style="24" customWidth="1"/>
    <col min="6" max="6" width="13.42578125" style="24" customWidth="1"/>
    <col min="7" max="7" width="14.5703125" style="24" customWidth="1"/>
    <col min="8" max="8" width="13.42578125" style="24" customWidth="1"/>
    <col min="9" max="16384" width="9.140625" style="22"/>
  </cols>
  <sheetData>
    <row r="1" spans="2:8" x14ac:dyDescent="0.2">
      <c r="D1" s="28"/>
      <c r="E1" s="28"/>
      <c r="F1" s="28"/>
      <c r="G1" s="28"/>
      <c r="H1" s="4" t="s">
        <v>5</v>
      </c>
    </row>
    <row r="2" spans="2:8" x14ac:dyDescent="0.2">
      <c r="B2" s="27" t="s">
        <v>7</v>
      </c>
      <c r="C2" s="13"/>
      <c r="D2" s="23" t="s">
        <v>79</v>
      </c>
      <c r="E2" s="23"/>
      <c r="F2" s="23"/>
      <c r="G2" s="23"/>
      <c r="H2" s="28"/>
    </row>
    <row r="3" spans="2:8" x14ac:dyDescent="0.2">
      <c r="D3" s="7" t="s">
        <v>8</v>
      </c>
      <c r="F3" s="28"/>
      <c r="G3" s="28"/>
      <c r="H3" s="28"/>
    </row>
    <row r="4" spans="2:8" x14ac:dyDescent="0.2">
      <c r="B4" s="27" t="s">
        <v>13</v>
      </c>
      <c r="C4" s="14"/>
      <c r="D4" s="28"/>
      <c r="E4" s="7"/>
      <c r="F4" s="28"/>
      <c r="G4" s="28"/>
      <c r="H4" s="28"/>
    </row>
    <row r="5" spans="2:8" x14ac:dyDescent="0.2">
      <c r="D5" s="28"/>
      <c r="E5" s="7"/>
      <c r="F5" s="28"/>
      <c r="G5" s="28"/>
      <c r="H5" s="28"/>
    </row>
    <row r="6" spans="2:8" x14ac:dyDescent="0.2">
      <c r="C6" s="27" t="s">
        <v>80</v>
      </c>
      <c r="D6" s="29">
        <f>H68</f>
        <v>86534.69457166236</v>
      </c>
      <c r="E6" s="28" t="s">
        <v>81</v>
      </c>
      <c r="F6" s="28"/>
      <c r="G6" s="28"/>
      <c r="H6" s="28"/>
    </row>
    <row r="7" spans="2:8" x14ac:dyDescent="0.2">
      <c r="C7" s="27" t="s">
        <v>15</v>
      </c>
      <c r="D7" s="28" t="s">
        <v>88</v>
      </c>
      <c r="E7" s="28"/>
      <c r="F7" s="28"/>
      <c r="G7" s="28"/>
      <c r="H7" s="28"/>
    </row>
    <row r="8" spans="2:8" x14ac:dyDescent="0.2">
      <c r="C8" s="13"/>
      <c r="D8" s="23"/>
      <c r="E8" s="9"/>
      <c r="F8" s="23"/>
      <c r="G8" s="23"/>
      <c r="H8" s="28"/>
    </row>
    <row r="9" spans="2:8" x14ac:dyDescent="0.2">
      <c r="D9" s="7" t="s">
        <v>9</v>
      </c>
      <c r="F9" s="28"/>
      <c r="G9" s="28"/>
      <c r="H9" s="28"/>
    </row>
    <row r="10" spans="2:8" x14ac:dyDescent="0.2">
      <c r="D10" s="28"/>
      <c r="E10" s="7"/>
      <c r="F10" s="28"/>
      <c r="G10" s="28"/>
      <c r="H10" s="28"/>
    </row>
    <row r="11" spans="2:8" x14ac:dyDescent="0.2">
      <c r="B11" s="27" t="s">
        <v>14</v>
      </c>
      <c r="H11" s="28"/>
    </row>
    <row r="12" spans="2:8" x14ac:dyDescent="0.2">
      <c r="G12" s="28"/>
      <c r="H12" s="28"/>
    </row>
    <row r="13" spans="2:8" x14ac:dyDescent="0.2">
      <c r="D13" s="10" t="s">
        <v>6</v>
      </c>
      <c r="F13" s="28"/>
      <c r="G13" s="28"/>
      <c r="H13" s="28"/>
    </row>
    <row r="14" spans="2:8" x14ac:dyDescent="0.2">
      <c r="D14" s="11"/>
      <c r="F14" s="28"/>
      <c r="G14" s="28"/>
      <c r="H14" s="28"/>
    </row>
    <row r="15" spans="2:8" ht="30.75" customHeight="1" x14ac:dyDescent="0.2">
      <c r="B15" s="147" t="s">
        <v>16</v>
      </c>
      <c r="C15" s="147"/>
      <c r="D15" s="147"/>
      <c r="E15" s="147"/>
      <c r="F15" s="147"/>
      <c r="G15" s="147"/>
      <c r="H15" s="147"/>
    </row>
    <row r="16" spans="2:8" x14ac:dyDescent="0.2">
      <c r="D16" s="12" t="s">
        <v>0</v>
      </c>
      <c r="F16" s="28"/>
      <c r="G16" s="28"/>
      <c r="H16" s="28"/>
    </row>
    <row r="17" spans="1:8" x14ac:dyDescent="0.2">
      <c r="H17" s="28"/>
    </row>
    <row r="18" spans="1:8" x14ac:dyDescent="0.2">
      <c r="B18" s="27" t="s">
        <v>83</v>
      </c>
      <c r="D18" s="11"/>
      <c r="E18" s="28"/>
      <c r="F18" s="28"/>
      <c r="G18" s="28"/>
      <c r="H18" s="28"/>
    </row>
    <row r="19" spans="1:8" hidden="1" x14ac:dyDescent="0.2">
      <c r="D19" s="11"/>
      <c r="E19" s="28"/>
      <c r="F19" s="28"/>
      <c r="G19" s="28"/>
      <c r="H19" s="28"/>
    </row>
    <row r="20" spans="1:8" hidden="1" x14ac:dyDescent="0.2">
      <c r="D20" s="28"/>
      <c r="E20" s="28"/>
      <c r="F20" s="28"/>
      <c r="G20" s="28"/>
      <c r="H20" s="28"/>
    </row>
    <row r="21" spans="1:8" ht="12.75" customHeight="1" x14ac:dyDescent="0.2">
      <c r="A21" s="131" t="s">
        <v>1</v>
      </c>
      <c r="B21" s="132" t="s">
        <v>10</v>
      </c>
      <c r="C21" s="132" t="s">
        <v>11</v>
      </c>
      <c r="D21" s="133" t="s">
        <v>17</v>
      </c>
      <c r="E21" s="133"/>
      <c r="F21" s="133"/>
      <c r="G21" s="133"/>
      <c r="H21" s="131" t="s">
        <v>18</v>
      </c>
    </row>
    <row r="22" spans="1:8" x14ac:dyDescent="0.2">
      <c r="A22" s="131"/>
      <c r="B22" s="132"/>
      <c r="C22" s="132"/>
      <c r="D22" s="131" t="s">
        <v>12</v>
      </c>
      <c r="E22" s="131" t="s">
        <v>2</v>
      </c>
      <c r="F22" s="131" t="s">
        <v>3</v>
      </c>
      <c r="G22" s="131" t="s">
        <v>4</v>
      </c>
      <c r="H22" s="131"/>
    </row>
    <row r="23" spans="1:8" x14ac:dyDescent="0.2">
      <c r="A23" s="131"/>
      <c r="B23" s="132"/>
      <c r="C23" s="132"/>
      <c r="D23" s="131"/>
      <c r="E23" s="131"/>
      <c r="F23" s="131"/>
      <c r="G23" s="131"/>
      <c r="H23" s="131"/>
    </row>
    <row r="24" spans="1:8" x14ac:dyDescent="0.2">
      <c r="A24" s="131"/>
      <c r="B24" s="132"/>
      <c r="C24" s="132"/>
      <c r="D24" s="131"/>
      <c r="E24" s="131"/>
      <c r="F24" s="131"/>
      <c r="G24" s="131"/>
      <c r="H24" s="131"/>
    </row>
    <row r="25" spans="1:8" x14ac:dyDescent="0.2">
      <c r="A25" s="15">
        <v>1</v>
      </c>
      <c r="B25" s="16">
        <v>2</v>
      </c>
      <c r="C25" s="16">
        <v>3</v>
      </c>
      <c r="D25" s="15">
        <v>4</v>
      </c>
      <c r="E25" s="15">
        <v>5</v>
      </c>
      <c r="F25" s="15">
        <v>6</v>
      </c>
      <c r="G25" s="15">
        <v>7</v>
      </c>
      <c r="H25" s="15">
        <v>8</v>
      </c>
    </row>
    <row r="26" spans="1:8" x14ac:dyDescent="0.2">
      <c r="A26" s="137" t="s">
        <v>19</v>
      </c>
      <c r="B26" s="138"/>
      <c r="C26" s="138"/>
      <c r="D26" s="139"/>
      <c r="E26" s="139"/>
      <c r="F26" s="139"/>
      <c r="G26" s="139"/>
      <c r="H26" s="139"/>
    </row>
    <row r="27" spans="1:8" x14ac:dyDescent="0.2">
      <c r="A27" s="31">
        <v>1</v>
      </c>
      <c r="B27" s="93" t="s">
        <v>20</v>
      </c>
      <c r="C27" s="93" t="s">
        <v>21</v>
      </c>
      <c r="D27" s="33">
        <f>30.588*7.98</f>
        <v>244.09224000000003</v>
      </c>
      <c r="E27" s="33">
        <f>44.422*7.98</f>
        <v>354.48755999999997</v>
      </c>
      <c r="F27" s="34"/>
      <c r="G27" s="34"/>
      <c r="H27" s="33">
        <f>SUM(D27:G27)</f>
        <v>598.57979999999998</v>
      </c>
    </row>
    <row r="28" spans="1:8" ht="27.95" customHeight="1" x14ac:dyDescent="0.2">
      <c r="A28" s="35"/>
      <c r="B28" s="140" t="s">
        <v>22</v>
      </c>
      <c r="C28" s="141"/>
      <c r="D28" s="33">
        <f>SUM(D27)</f>
        <v>244.09224000000003</v>
      </c>
      <c r="E28" s="33">
        <f>SUM(E27)</f>
        <v>354.48755999999997</v>
      </c>
      <c r="F28" s="34"/>
      <c r="G28" s="34"/>
      <c r="H28" s="33">
        <f>SUM(D28:G28)</f>
        <v>598.57979999999998</v>
      </c>
    </row>
    <row r="29" spans="1:8" x14ac:dyDescent="0.2">
      <c r="A29" s="134" t="s">
        <v>23</v>
      </c>
      <c r="B29" s="135"/>
      <c r="C29" s="135"/>
      <c r="D29" s="136"/>
      <c r="E29" s="136"/>
      <c r="F29" s="136"/>
      <c r="G29" s="136"/>
      <c r="H29" s="136"/>
    </row>
    <row r="30" spans="1:8" x14ac:dyDescent="0.2">
      <c r="A30" s="31">
        <v>2</v>
      </c>
      <c r="B30" s="93" t="s">
        <v>24</v>
      </c>
      <c r="C30" s="93" t="s">
        <v>91</v>
      </c>
      <c r="D30" s="33">
        <f>115.678*7.98</f>
        <v>923.11044000000004</v>
      </c>
      <c r="E30" s="33">
        <f>705.554*7.98</f>
        <v>5630.3209200000001</v>
      </c>
      <c r="F30" s="33">
        <f>8048.153*4.28</f>
        <v>34446.094840000005</v>
      </c>
      <c r="G30" s="34"/>
      <c r="H30" s="33">
        <f>SUM(D30:G30)</f>
        <v>40999.526200000008</v>
      </c>
    </row>
    <row r="31" spans="1:8" x14ac:dyDescent="0.2">
      <c r="A31" s="31">
        <v>3</v>
      </c>
      <c r="B31" s="93" t="s">
        <v>25</v>
      </c>
      <c r="C31" s="93" t="s">
        <v>26</v>
      </c>
      <c r="D31" s="33">
        <f>444.659*7.98</f>
        <v>3548.3788199999999</v>
      </c>
      <c r="E31" s="33">
        <f>1179.059*7.98</f>
        <v>9408.8908200000005</v>
      </c>
      <c r="F31" s="33"/>
      <c r="G31" s="34"/>
      <c r="H31" s="33">
        <f t="shared" ref="H31:H62" si="0">SUM(D31:G31)</f>
        <v>12957.26964</v>
      </c>
    </row>
    <row r="32" spans="1:8" x14ac:dyDescent="0.2">
      <c r="A32" s="31">
        <v>4</v>
      </c>
      <c r="B32" s="93" t="s">
        <v>27</v>
      </c>
      <c r="C32" s="93" t="s">
        <v>28</v>
      </c>
      <c r="D32" s="33">
        <f>249.617*7.98</f>
        <v>1991.9436600000001</v>
      </c>
      <c r="E32" s="34"/>
      <c r="F32" s="34"/>
      <c r="G32" s="34"/>
      <c r="H32" s="33">
        <f t="shared" si="0"/>
        <v>1991.9436600000001</v>
      </c>
    </row>
    <row r="33" spans="1:8" x14ac:dyDescent="0.2">
      <c r="A33" s="31">
        <v>5</v>
      </c>
      <c r="B33" s="93" t="s">
        <v>29</v>
      </c>
      <c r="C33" s="93" t="s">
        <v>30</v>
      </c>
      <c r="D33" s="33">
        <f>0.02*7.98</f>
        <v>0.15960000000000002</v>
      </c>
      <c r="E33" s="33">
        <f>73.957*7.98</f>
        <v>590.17686000000003</v>
      </c>
      <c r="F33" s="34"/>
      <c r="G33" s="34"/>
      <c r="H33" s="33">
        <f t="shared" si="0"/>
        <v>590.33645999999999</v>
      </c>
    </row>
    <row r="34" spans="1:8" x14ac:dyDescent="0.2">
      <c r="A34" s="31">
        <v>6</v>
      </c>
      <c r="B34" s="93" t="s">
        <v>31</v>
      </c>
      <c r="C34" s="93" t="s">
        <v>32</v>
      </c>
      <c r="D34" s="33">
        <f>1.592*7.98</f>
        <v>12.704160000000002</v>
      </c>
      <c r="E34" s="33">
        <f>14.041*7.98</f>
        <v>112.04718000000001</v>
      </c>
      <c r="F34" s="34"/>
      <c r="G34" s="34"/>
      <c r="H34" s="33">
        <f t="shared" si="0"/>
        <v>124.75134000000001</v>
      </c>
    </row>
    <row r="35" spans="1:8" ht="27.95" customHeight="1" x14ac:dyDescent="0.2">
      <c r="A35" s="35"/>
      <c r="B35" s="140" t="s">
        <v>33</v>
      </c>
      <c r="C35" s="141"/>
      <c r="D35" s="33">
        <f>SUM(D30:D34)</f>
        <v>6476.2966800000004</v>
      </c>
      <c r="E35" s="33">
        <f t="shared" ref="E35:F35" si="1">SUM(E30:E34)</f>
        <v>15741.43578</v>
      </c>
      <c r="F35" s="33">
        <f t="shared" si="1"/>
        <v>34446.094840000005</v>
      </c>
      <c r="G35" s="34"/>
      <c r="H35" s="33">
        <f t="shared" si="0"/>
        <v>56663.827300000004</v>
      </c>
    </row>
    <row r="36" spans="1:8" x14ac:dyDescent="0.2">
      <c r="A36" s="134" t="s">
        <v>34</v>
      </c>
      <c r="B36" s="135"/>
      <c r="C36" s="135"/>
      <c r="D36" s="136"/>
      <c r="E36" s="136"/>
      <c r="F36" s="136"/>
      <c r="G36" s="136"/>
      <c r="H36" s="136"/>
    </row>
    <row r="37" spans="1:8" ht="15.75" customHeight="1" x14ac:dyDescent="0.2">
      <c r="A37" s="31">
        <v>7</v>
      </c>
      <c r="B37" s="93" t="s">
        <v>35</v>
      </c>
      <c r="C37" s="93" t="s">
        <v>36</v>
      </c>
      <c r="D37" s="33">
        <f>110.102*7.98</f>
        <v>878.61396000000013</v>
      </c>
      <c r="E37" s="34"/>
      <c r="F37" s="34"/>
      <c r="G37" s="34"/>
      <c r="H37" s="33">
        <f t="shared" si="0"/>
        <v>878.61396000000013</v>
      </c>
    </row>
    <row r="38" spans="1:8" ht="27.95" customHeight="1" x14ac:dyDescent="0.2">
      <c r="A38" s="35"/>
      <c r="B38" s="140" t="s">
        <v>37</v>
      </c>
      <c r="C38" s="141"/>
      <c r="D38" s="33">
        <f>D37</f>
        <v>878.61396000000013</v>
      </c>
      <c r="E38" s="34"/>
      <c r="F38" s="34"/>
      <c r="G38" s="34"/>
      <c r="H38" s="33">
        <f t="shared" si="0"/>
        <v>878.61396000000013</v>
      </c>
    </row>
    <row r="39" spans="1:8" x14ac:dyDescent="0.2">
      <c r="A39" s="134" t="s">
        <v>38</v>
      </c>
      <c r="B39" s="135"/>
      <c r="C39" s="135"/>
      <c r="D39" s="136"/>
      <c r="E39" s="136"/>
      <c r="F39" s="136"/>
      <c r="G39" s="136"/>
      <c r="H39" s="136"/>
    </row>
    <row r="40" spans="1:8" ht="14.25" customHeight="1" x14ac:dyDescent="0.2">
      <c r="A40" s="31">
        <v>8</v>
      </c>
      <c r="B40" s="93" t="s">
        <v>39</v>
      </c>
      <c r="C40" s="93" t="s">
        <v>40</v>
      </c>
      <c r="D40" s="33">
        <f>203.431*7.98</f>
        <v>1623.3793800000001</v>
      </c>
      <c r="E40" s="37"/>
      <c r="F40" s="37"/>
      <c r="G40" s="37"/>
      <c r="H40" s="33">
        <f t="shared" si="0"/>
        <v>1623.3793800000001</v>
      </c>
    </row>
    <row r="41" spans="1:8" ht="27.95" customHeight="1" x14ac:dyDescent="0.2">
      <c r="A41" s="35"/>
      <c r="B41" s="140" t="s">
        <v>41</v>
      </c>
      <c r="C41" s="141"/>
      <c r="D41" s="33">
        <f>D40</f>
        <v>1623.3793800000001</v>
      </c>
      <c r="E41" s="37"/>
      <c r="F41" s="37"/>
      <c r="G41" s="37"/>
      <c r="H41" s="33">
        <f t="shared" si="0"/>
        <v>1623.3793800000001</v>
      </c>
    </row>
    <row r="42" spans="1:8" x14ac:dyDescent="0.2">
      <c r="A42" s="35"/>
      <c r="B42" s="140" t="s">
        <v>42</v>
      </c>
      <c r="C42" s="141"/>
      <c r="D42" s="38">
        <f>D28+D35+D38+D41</f>
        <v>9222.3822600000003</v>
      </c>
      <c r="E42" s="38">
        <f t="shared" ref="E42:F42" si="2">E28+E35+E38+E41</f>
        <v>16095.923339999999</v>
      </c>
      <c r="F42" s="38">
        <f t="shared" si="2"/>
        <v>34446.094840000005</v>
      </c>
      <c r="G42" s="37"/>
      <c r="H42" s="33">
        <f t="shared" si="0"/>
        <v>59764.400440000005</v>
      </c>
    </row>
    <row r="43" spans="1:8" x14ac:dyDescent="0.2">
      <c r="A43" s="134" t="s">
        <v>43</v>
      </c>
      <c r="B43" s="135"/>
      <c r="C43" s="135"/>
      <c r="D43" s="136"/>
      <c r="E43" s="136"/>
      <c r="F43" s="136"/>
      <c r="G43" s="136"/>
      <c r="H43" s="136"/>
    </row>
    <row r="44" spans="1:8" x14ac:dyDescent="0.2">
      <c r="A44" s="35"/>
      <c r="B44" s="140" t="s">
        <v>44</v>
      </c>
      <c r="C44" s="141"/>
      <c r="D44" s="38">
        <f>D42</f>
        <v>9222.3822600000003</v>
      </c>
      <c r="E44" s="38">
        <f t="shared" ref="E44:F44" si="3">E42</f>
        <v>16095.923339999999</v>
      </c>
      <c r="F44" s="38">
        <f t="shared" si="3"/>
        <v>34446.094840000005</v>
      </c>
      <c r="G44" s="37"/>
      <c r="H44" s="33">
        <f t="shared" si="0"/>
        <v>59764.400440000005</v>
      </c>
    </row>
    <row r="45" spans="1:8" x14ac:dyDescent="0.2">
      <c r="A45" s="134" t="s">
        <v>45</v>
      </c>
      <c r="B45" s="135"/>
      <c r="C45" s="135"/>
      <c r="D45" s="136"/>
      <c r="E45" s="136"/>
      <c r="F45" s="136"/>
      <c r="G45" s="136"/>
      <c r="H45" s="136"/>
    </row>
    <row r="46" spans="1:8" ht="15.75" customHeight="1" x14ac:dyDescent="0.2">
      <c r="A46" s="31">
        <v>9</v>
      </c>
      <c r="B46" s="93" t="s">
        <v>46</v>
      </c>
      <c r="C46" s="93" t="s">
        <v>47</v>
      </c>
      <c r="D46" s="33">
        <f>D44*4.97%</f>
        <v>458.35239832199994</v>
      </c>
      <c r="E46" s="33">
        <f>E44*4.97%</f>
        <v>799.96738999799993</v>
      </c>
      <c r="F46" s="34"/>
      <c r="G46" s="34"/>
      <c r="H46" s="33">
        <f t="shared" si="0"/>
        <v>1258.3197883199998</v>
      </c>
    </row>
    <row r="47" spans="1:8" ht="15.75" customHeight="1" x14ac:dyDescent="0.2">
      <c r="A47" s="31">
        <v>10</v>
      </c>
      <c r="B47" s="93" t="s">
        <v>48</v>
      </c>
      <c r="C47" s="93" t="s">
        <v>49</v>
      </c>
      <c r="D47" s="33">
        <f>D44*0.4%</f>
        <v>36.889529039999999</v>
      </c>
      <c r="E47" s="33">
        <f>E44*0.4%</f>
        <v>64.383693359999995</v>
      </c>
      <c r="F47" s="34"/>
      <c r="G47" s="34"/>
      <c r="H47" s="33">
        <f t="shared" si="0"/>
        <v>101.27322239999999</v>
      </c>
    </row>
    <row r="48" spans="1:8" x14ac:dyDescent="0.2">
      <c r="A48" s="31">
        <v>11</v>
      </c>
      <c r="B48" s="93" t="s">
        <v>50</v>
      </c>
      <c r="C48" s="93" t="s">
        <v>51</v>
      </c>
      <c r="D48" s="34"/>
      <c r="E48" s="34"/>
      <c r="F48" s="34"/>
      <c r="G48" s="33">
        <f>24.122*8.42</f>
        <v>203.10723999999999</v>
      </c>
      <c r="H48" s="33">
        <f t="shared" si="0"/>
        <v>203.10723999999999</v>
      </c>
    </row>
    <row r="49" spans="1:8" x14ac:dyDescent="0.2">
      <c r="A49" s="31">
        <v>12</v>
      </c>
      <c r="B49" s="93" t="s">
        <v>52</v>
      </c>
      <c r="C49" s="93" t="s">
        <v>53</v>
      </c>
      <c r="D49" s="34"/>
      <c r="E49" s="34"/>
      <c r="F49" s="34"/>
      <c r="G49" s="33">
        <f>281.038*17.78</f>
        <v>4996.8556400000007</v>
      </c>
      <c r="H49" s="33">
        <f t="shared" si="0"/>
        <v>4996.8556400000007</v>
      </c>
    </row>
    <row r="50" spans="1:8" ht="13.5" customHeight="1" x14ac:dyDescent="0.2">
      <c r="A50" s="31">
        <v>13</v>
      </c>
      <c r="B50" s="93" t="s">
        <v>54</v>
      </c>
      <c r="C50" s="93" t="s">
        <v>55</v>
      </c>
      <c r="D50" s="34"/>
      <c r="E50" s="34"/>
      <c r="F50" s="34"/>
      <c r="G50" s="33">
        <f>16.923*8.42</f>
        <v>142.49166</v>
      </c>
      <c r="H50" s="33">
        <f t="shared" si="0"/>
        <v>142.49166</v>
      </c>
    </row>
    <row r="51" spans="1:8" ht="25.5" x14ac:dyDescent="0.2">
      <c r="A51" s="31">
        <v>14</v>
      </c>
      <c r="B51" s="93" t="s">
        <v>56</v>
      </c>
      <c r="C51" s="93" t="s">
        <v>57</v>
      </c>
      <c r="D51" s="34"/>
      <c r="E51" s="34"/>
      <c r="F51" s="34"/>
      <c r="G51" s="33">
        <v>316.66800000000001</v>
      </c>
      <c r="H51" s="33">
        <f t="shared" si="0"/>
        <v>316.66800000000001</v>
      </c>
    </row>
    <row r="52" spans="1:8" x14ac:dyDescent="0.2">
      <c r="A52" s="31">
        <v>15</v>
      </c>
      <c r="B52" s="93" t="s">
        <v>58</v>
      </c>
      <c r="C52" s="93" t="s">
        <v>59</v>
      </c>
      <c r="D52" s="34"/>
      <c r="E52" s="34"/>
      <c r="F52" s="34"/>
      <c r="G52" s="33">
        <v>345.6</v>
      </c>
      <c r="H52" s="33">
        <f t="shared" si="0"/>
        <v>345.6</v>
      </c>
    </row>
    <row r="53" spans="1:8" x14ac:dyDescent="0.2">
      <c r="A53" s="35"/>
      <c r="B53" s="140" t="s">
        <v>60</v>
      </c>
      <c r="C53" s="141"/>
      <c r="D53" s="33">
        <f>SUM(D46:D52)</f>
        <v>495.24192736199996</v>
      </c>
      <c r="E53" s="33">
        <f t="shared" ref="E53:H53" si="4">SUM(E46:E52)</f>
        <v>864.35108335799987</v>
      </c>
      <c r="F53" s="33">
        <f t="shared" si="4"/>
        <v>0</v>
      </c>
      <c r="G53" s="33">
        <f t="shared" si="4"/>
        <v>6004.7225400000007</v>
      </c>
      <c r="H53" s="33">
        <f t="shared" si="4"/>
        <v>7364.3155507199999</v>
      </c>
    </row>
    <row r="54" spans="1:8" x14ac:dyDescent="0.2">
      <c r="A54" s="35"/>
      <c r="B54" s="140" t="s">
        <v>61</v>
      </c>
      <c r="C54" s="141"/>
      <c r="D54" s="33">
        <f>D44+D53</f>
        <v>9717.6241873620002</v>
      </c>
      <c r="E54" s="33">
        <f t="shared" ref="E54:G54" si="5">E44+E53</f>
        <v>16960.274423357998</v>
      </c>
      <c r="F54" s="33">
        <f t="shared" si="5"/>
        <v>34446.094840000005</v>
      </c>
      <c r="G54" s="33">
        <f t="shared" si="5"/>
        <v>6004.7225400000007</v>
      </c>
      <c r="H54" s="33">
        <f t="shared" si="0"/>
        <v>67128.715990719997</v>
      </c>
    </row>
    <row r="55" spans="1:8" x14ac:dyDescent="0.2">
      <c r="A55" s="134" t="s">
        <v>62</v>
      </c>
      <c r="B55" s="135"/>
      <c r="C55" s="135"/>
      <c r="D55" s="136"/>
      <c r="E55" s="136"/>
      <c r="F55" s="136"/>
      <c r="G55" s="136"/>
      <c r="H55" s="136"/>
    </row>
    <row r="56" spans="1:8" ht="26.25" customHeight="1" x14ac:dyDescent="0.2">
      <c r="A56" s="31">
        <v>16</v>
      </c>
      <c r="B56" s="93" t="s">
        <v>89</v>
      </c>
      <c r="C56" s="93" t="s">
        <v>63</v>
      </c>
      <c r="D56" s="37"/>
      <c r="E56" s="37"/>
      <c r="F56" s="37"/>
      <c r="G56" s="38">
        <f>H54*4.75%+H61*4.75%</f>
        <v>3228.5730045591999</v>
      </c>
      <c r="H56" s="33">
        <f t="shared" si="0"/>
        <v>3228.5730045591999</v>
      </c>
    </row>
    <row r="57" spans="1:8" ht="40.5" customHeight="1" x14ac:dyDescent="0.2">
      <c r="A57" s="39"/>
      <c r="B57" s="40" t="s">
        <v>90</v>
      </c>
      <c r="C57" s="40" t="s">
        <v>93</v>
      </c>
      <c r="D57" s="37"/>
      <c r="E57" s="37"/>
      <c r="F57" s="37"/>
      <c r="G57" s="41">
        <f>H54*2.14%</f>
        <v>1436.5545222014082</v>
      </c>
      <c r="H57" s="42">
        <f t="shared" si="0"/>
        <v>1436.5545222014082</v>
      </c>
    </row>
    <row r="58" spans="1:8" ht="27.95" customHeight="1" x14ac:dyDescent="0.2">
      <c r="A58" s="35"/>
      <c r="B58" s="140" t="s">
        <v>64</v>
      </c>
      <c r="C58" s="141"/>
      <c r="D58" s="37"/>
      <c r="E58" s="37"/>
      <c r="F58" s="37"/>
      <c r="G58" s="38">
        <f>G56</f>
        <v>3228.5730045591999</v>
      </c>
      <c r="H58" s="33">
        <f t="shared" si="0"/>
        <v>3228.5730045591999</v>
      </c>
    </row>
    <row r="59" spans="1:8" x14ac:dyDescent="0.2">
      <c r="A59" s="134" t="s">
        <v>65</v>
      </c>
      <c r="B59" s="135"/>
      <c r="C59" s="135"/>
      <c r="D59" s="136"/>
      <c r="E59" s="136"/>
      <c r="F59" s="136"/>
      <c r="G59" s="136"/>
      <c r="H59" s="136"/>
    </row>
    <row r="60" spans="1:8" ht="41.25" customHeight="1" x14ac:dyDescent="0.2">
      <c r="A60" s="31">
        <v>17</v>
      </c>
      <c r="B60" s="93" t="s">
        <v>66</v>
      </c>
      <c r="C60" s="93" t="s">
        <v>92</v>
      </c>
      <c r="D60" s="37"/>
      <c r="E60" s="37"/>
      <c r="F60" s="37"/>
      <c r="G60" s="33">
        <f>841242/1000</f>
        <v>841.24199999999996</v>
      </c>
      <c r="H60" s="33">
        <f t="shared" si="0"/>
        <v>841.24199999999996</v>
      </c>
    </row>
    <row r="61" spans="1:8" ht="27.95" customHeight="1" x14ac:dyDescent="0.2">
      <c r="A61" s="35"/>
      <c r="B61" s="140" t="s">
        <v>68</v>
      </c>
      <c r="C61" s="141"/>
      <c r="D61" s="37"/>
      <c r="E61" s="37"/>
      <c r="F61" s="37"/>
      <c r="G61" s="33">
        <f>G60</f>
        <v>841.24199999999996</v>
      </c>
      <c r="H61" s="33">
        <f t="shared" si="0"/>
        <v>841.24199999999996</v>
      </c>
    </row>
    <row r="62" spans="1:8" x14ac:dyDescent="0.2">
      <c r="A62" s="35"/>
      <c r="B62" s="140" t="s">
        <v>69</v>
      </c>
      <c r="C62" s="141"/>
      <c r="D62" s="38">
        <f>D54+D58+D61</f>
        <v>9717.6241873620002</v>
      </c>
      <c r="E62" s="38">
        <f t="shared" ref="E62:G62" si="6">E54+E58+E61</f>
        <v>16960.274423357998</v>
      </c>
      <c r="F62" s="38">
        <f t="shared" si="6"/>
        <v>34446.094840000005</v>
      </c>
      <c r="G62" s="38">
        <f t="shared" si="6"/>
        <v>10074.537544559202</v>
      </c>
      <c r="H62" s="33">
        <f t="shared" si="0"/>
        <v>71198.530995279201</v>
      </c>
    </row>
    <row r="63" spans="1:8" x14ac:dyDescent="0.2">
      <c r="A63" s="134" t="s">
        <v>70</v>
      </c>
      <c r="B63" s="135"/>
      <c r="C63" s="135"/>
      <c r="D63" s="136"/>
      <c r="E63" s="136"/>
      <c r="F63" s="136"/>
      <c r="G63" s="136"/>
      <c r="H63" s="136"/>
    </row>
    <row r="64" spans="1:8" x14ac:dyDescent="0.2">
      <c r="A64" s="31">
        <v>18</v>
      </c>
      <c r="B64" s="93" t="s">
        <v>71</v>
      </c>
      <c r="C64" s="93" t="s">
        <v>72</v>
      </c>
      <c r="D64" s="38">
        <f>D62*3%</f>
        <v>291.52872562085997</v>
      </c>
      <c r="E64" s="38">
        <f>E62*3%</f>
        <v>508.80823270073989</v>
      </c>
      <c r="F64" s="38">
        <f>F62*3%</f>
        <v>1033.3828452</v>
      </c>
      <c r="G64" s="38">
        <f>G62*3%</f>
        <v>302.23612633677607</v>
      </c>
      <c r="H64" s="33">
        <f>SUM(D64:G64)</f>
        <v>2135.9559298583758</v>
      </c>
    </row>
    <row r="65" spans="1:8" x14ac:dyDescent="0.2">
      <c r="A65" s="35"/>
      <c r="B65" s="140" t="s">
        <v>78</v>
      </c>
      <c r="C65" s="135"/>
      <c r="D65" s="38">
        <f>D62+D64</f>
        <v>10009.15291298286</v>
      </c>
      <c r="E65" s="38">
        <f t="shared" ref="E65:G65" si="7">E62+E64</f>
        <v>17469.082656058737</v>
      </c>
      <c r="F65" s="38">
        <f t="shared" si="7"/>
        <v>35479.477685200007</v>
      </c>
      <c r="G65" s="38">
        <f t="shared" si="7"/>
        <v>10376.773670895978</v>
      </c>
      <c r="H65" s="33">
        <f>SUM(D65:G65)</f>
        <v>73334.486925137579</v>
      </c>
    </row>
    <row r="66" spans="1:8" x14ac:dyDescent="0.2">
      <c r="A66" s="134" t="s">
        <v>84</v>
      </c>
      <c r="B66" s="135"/>
      <c r="C66" s="135"/>
      <c r="D66" s="136"/>
      <c r="E66" s="136"/>
      <c r="F66" s="136"/>
      <c r="G66" s="136"/>
      <c r="H66" s="136"/>
    </row>
    <row r="67" spans="1:8" x14ac:dyDescent="0.2">
      <c r="A67" s="31">
        <v>19</v>
      </c>
      <c r="B67" s="93" t="s">
        <v>85</v>
      </c>
      <c r="C67" s="43" t="s">
        <v>86</v>
      </c>
      <c r="D67" s="44">
        <f>D65*18%</f>
        <v>1801.6475243369146</v>
      </c>
      <c r="E67" s="44">
        <f>E65*18%</f>
        <v>3144.4348780905725</v>
      </c>
      <c r="F67" s="44">
        <f>F65*18%</f>
        <v>6386.3059833360012</v>
      </c>
      <c r="G67" s="44">
        <f>G65*18%</f>
        <v>1867.8192607612759</v>
      </c>
      <c r="H67" s="33">
        <f>SUM(D67:G67)</f>
        <v>13200.207646524765</v>
      </c>
    </row>
    <row r="68" spans="1:8" x14ac:dyDescent="0.2">
      <c r="A68" s="35"/>
      <c r="B68" s="148" t="s">
        <v>87</v>
      </c>
      <c r="C68" s="149"/>
      <c r="D68" s="45">
        <f>D65+D67</f>
        <v>11810.800437319775</v>
      </c>
      <c r="E68" s="45">
        <f>E65+E67</f>
        <v>20613.517534149309</v>
      </c>
      <c r="F68" s="45">
        <f>F65+F67</f>
        <v>41865.783668536009</v>
      </c>
      <c r="G68" s="45">
        <f>G65+G67</f>
        <v>12244.592931657255</v>
      </c>
      <c r="H68" s="45">
        <f>SUM(D68:G68)</f>
        <v>86534.69457166236</v>
      </c>
    </row>
    <row r="72" spans="1:8" x14ac:dyDescent="0.2">
      <c r="A72" s="146" t="s">
        <v>74</v>
      </c>
      <c r="B72" s="143"/>
      <c r="C72" s="143"/>
      <c r="D72" s="143"/>
      <c r="E72" s="143"/>
      <c r="F72" s="143"/>
      <c r="G72" s="143"/>
      <c r="H72" s="143"/>
    </row>
    <row r="73" spans="1:8" x14ac:dyDescent="0.2">
      <c r="A73" s="142" t="s">
        <v>75</v>
      </c>
      <c r="B73" s="143"/>
      <c r="C73" s="143"/>
      <c r="D73" s="143"/>
      <c r="E73" s="143"/>
      <c r="F73" s="143"/>
      <c r="G73" s="143"/>
      <c r="H73" s="143"/>
    </row>
    <row r="76" spans="1:8" x14ac:dyDescent="0.2">
      <c r="A76" s="146" t="s">
        <v>76</v>
      </c>
      <c r="B76" s="143"/>
      <c r="C76" s="143"/>
      <c r="D76" s="143"/>
      <c r="E76" s="143"/>
      <c r="F76" s="143"/>
      <c r="G76" s="143"/>
      <c r="H76" s="143"/>
    </row>
    <row r="77" spans="1:8" x14ac:dyDescent="0.2">
      <c r="A77" s="142" t="s">
        <v>75</v>
      </c>
      <c r="B77" s="143"/>
      <c r="C77" s="143"/>
      <c r="D77" s="143"/>
      <c r="E77" s="143"/>
      <c r="F77" s="143"/>
      <c r="G77" s="143"/>
      <c r="H77" s="143"/>
    </row>
    <row r="80" spans="1:8" x14ac:dyDescent="0.2">
      <c r="A80" s="146" t="s">
        <v>77</v>
      </c>
      <c r="B80" s="143"/>
      <c r="C80" s="143"/>
      <c r="D80" s="143"/>
      <c r="E80" s="143"/>
      <c r="F80" s="143"/>
      <c r="G80" s="143"/>
      <c r="H80" s="143"/>
    </row>
    <row r="81" spans="1:8" x14ac:dyDescent="0.2">
      <c r="A81" s="142" t="s">
        <v>75</v>
      </c>
      <c r="B81" s="143"/>
      <c r="C81" s="143"/>
      <c r="D81" s="143"/>
      <c r="E81" s="143"/>
      <c r="F81" s="143"/>
      <c r="G81" s="143"/>
      <c r="H81" s="143"/>
    </row>
  </sheetData>
  <mergeCells count="39">
    <mergeCell ref="A73:H73"/>
    <mergeCell ref="A76:H76"/>
    <mergeCell ref="A77:H77"/>
    <mergeCell ref="A80:H80"/>
    <mergeCell ref="A81:H81"/>
    <mergeCell ref="A72:H72"/>
    <mergeCell ref="B53:C53"/>
    <mergeCell ref="B54:C54"/>
    <mergeCell ref="A55:H55"/>
    <mergeCell ref="B58:C58"/>
    <mergeCell ref="A59:H59"/>
    <mergeCell ref="B61:C61"/>
    <mergeCell ref="B62:C62"/>
    <mergeCell ref="A63:H63"/>
    <mergeCell ref="B65:C65"/>
    <mergeCell ref="A66:H66"/>
    <mergeCell ref="B68:C68"/>
    <mergeCell ref="A45:H45"/>
    <mergeCell ref="A26:H26"/>
    <mergeCell ref="B28:C28"/>
    <mergeCell ref="A29:H29"/>
    <mergeCell ref="B35:C35"/>
    <mergeCell ref="A36:H36"/>
    <mergeCell ref="B38:C38"/>
    <mergeCell ref="A39:H39"/>
    <mergeCell ref="B41:C41"/>
    <mergeCell ref="B42:C42"/>
    <mergeCell ref="A43:H43"/>
    <mergeCell ref="B44:C44"/>
    <mergeCell ref="B15:H15"/>
    <mergeCell ref="A21:A24"/>
    <mergeCell ref="B21:B24"/>
    <mergeCell ref="C21:C24"/>
    <mergeCell ref="D21:G21"/>
    <mergeCell ref="H21:H24"/>
    <mergeCell ref="D22:D24"/>
    <mergeCell ref="E22:E24"/>
    <mergeCell ref="F22:F24"/>
    <mergeCell ref="G22:G24"/>
  </mergeCell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view="pageBreakPreview" zoomScale="60" zoomScaleNormal="70" workbookViewId="0">
      <selection activeCell="B15" sqref="B15:H15"/>
    </sheetView>
  </sheetViews>
  <sheetFormatPr defaultRowHeight="12.75" x14ac:dyDescent="0.2"/>
  <cols>
    <col min="1" max="1" width="5" style="20" customWidth="1"/>
    <col min="2" max="2" width="27.140625" style="27" customWidth="1"/>
    <col min="3" max="3" width="65.140625" style="27" customWidth="1"/>
    <col min="4" max="4" width="15.85546875" style="24" customWidth="1"/>
    <col min="5" max="5" width="13" style="24" customWidth="1"/>
    <col min="6" max="6" width="13.42578125" style="24" customWidth="1"/>
    <col min="7" max="7" width="12.5703125" style="24" customWidth="1"/>
    <col min="8" max="8" width="13.42578125" style="24" customWidth="1"/>
    <col min="9" max="16384" width="9.140625" style="22"/>
  </cols>
  <sheetData>
    <row r="1" spans="1:8" x14ac:dyDescent="0.2">
      <c r="A1" s="113"/>
      <c r="B1" s="14"/>
      <c r="C1" s="14"/>
      <c r="D1" s="88"/>
      <c r="E1" s="88"/>
      <c r="F1" s="88"/>
      <c r="G1" s="88"/>
      <c r="H1" s="114"/>
    </row>
    <row r="2" spans="1:8" x14ac:dyDescent="0.2">
      <c r="A2" s="113"/>
      <c r="B2" s="14"/>
      <c r="C2" s="14"/>
      <c r="D2" s="88"/>
      <c r="E2" s="88"/>
      <c r="F2" s="88"/>
      <c r="G2" s="88"/>
      <c r="H2" s="88"/>
    </row>
    <row r="3" spans="1:8" x14ac:dyDescent="0.2">
      <c r="A3" s="113"/>
      <c r="B3" s="14"/>
      <c r="C3" s="14"/>
      <c r="D3" s="115"/>
      <c r="E3" s="89"/>
      <c r="F3" s="88"/>
      <c r="G3" s="88"/>
      <c r="H3" s="88"/>
    </row>
    <row r="4" spans="1:8" x14ac:dyDescent="0.2">
      <c r="A4" s="113"/>
      <c r="B4" s="14"/>
      <c r="C4" s="14"/>
      <c r="D4" s="88"/>
      <c r="E4" s="115"/>
      <c r="F4" s="185" t="s">
        <v>189</v>
      </c>
      <c r="G4" s="185"/>
      <c r="H4" s="185"/>
    </row>
    <row r="5" spans="1:8" ht="21" customHeight="1" x14ac:dyDescent="0.2">
      <c r="A5" s="113"/>
      <c r="B5" s="14"/>
      <c r="C5" s="14"/>
      <c r="D5" s="88"/>
      <c r="E5" s="115"/>
      <c r="F5" s="185" t="s">
        <v>175</v>
      </c>
      <c r="G5" s="185"/>
      <c r="H5" s="185"/>
    </row>
    <row r="6" spans="1:8" ht="16.5" customHeight="1" x14ac:dyDescent="0.2">
      <c r="A6" s="113"/>
      <c r="B6" s="14"/>
      <c r="C6" s="14"/>
      <c r="D6" s="116"/>
      <c r="E6" s="88"/>
      <c r="F6" s="185" t="s">
        <v>176</v>
      </c>
      <c r="G6" s="185"/>
      <c r="H6" s="185"/>
    </row>
    <row r="7" spans="1:8" ht="22.5" customHeight="1" x14ac:dyDescent="0.2">
      <c r="A7" s="113"/>
      <c r="B7" s="14"/>
      <c r="C7" s="14"/>
      <c r="D7" s="88"/>
      <c r="E7" s="88"/>
      <c r="F7" s="117"/>
      <c r="G7" s="117"/>
      <c r="H7" s="117"/>
    </row>
    <row r="8" spans="1:8" ht="20.25" customHeight="1" x14ac:dyDescent="0.2">
      <c r="A8" s="113"/>
      <c r="B8" s="14"/>
      <c r="C8" s="14"/>
      <c r="D8" s="88"/>
      <c r="E8" s="89"/>
      <c r="F8" s="117"/>
      <c r="G8" s="117"/>
      <c r="H8" s="117"/>
    </row>
    <row r="9" spans="1:8" x14ac:dyDescent="0.2">
      <c r="A9" s="113"/>
      <c r="B9" s="14"/>
      <c r="C9" s="14"/>
      <c r="D9" s="115"/>
      <c r="E9" s="89"/>
      <c r="F9" s="88"/>
      <c r="G9" s="88"/>
      <c r="H9" s="88"/>
    </row>
    <row r="10" spans="1:8" x14ac:dyDescent="0.2">
      <c r="A10" s="113"/>
      <c r="B10" s="14"/>
      <c r="C10" s="14"/>
      <c r="D10" s="88"/>
      <c r="E10" s="115"/>
      <c r="F10" s="88"/>
      <c r="G10" s="88"/>
      <c r="H10" s="88"/>
    </row>
    <row r="11" spans="1:8" ht="33" hidden="1" customHeight="1" x14ac:dyDescent="0.2">
      <c r="A11" s="113"/>
      <c r="B11" s="14"/>
      <c r="C11" s="14"/>
      <c r="D11" s="89"/>
      <c r="E11" s="89"/>
      <c r="F11" s="89"/>
      <c r="G11" s="89"/>
      <c r="H11" s="88"/>
    </row>
    <row r="12" spans="1:8" x14ac:dyDescent="0.2">
      <c r="B12" s="14"/>
      <c r="C12" s="14"/>
      <c r="D12" s="89"/>
      <c r="E12" s="89"/>
      <c r="F12" s="89"/>
      <c r="G12" s="88"/>
      <c r="H12" s="88"/>
    </row>
    <row r="13" spans="1:8" x14ac:dyDescent="0.2">
      <c r="A13" s="163" t="s">
        <v>177</v>
      </c>
      <c r="B13" s="163"/>
      <c r="C13" s="163"/>
      <c r="D13" s="163"/>
      <c r="E13" s="163"/>
      <c r="F13" s="163"/>
      <c r="G13" s="163"/>
      <c r="H13" s="163"/>
    </row>
    <row r="14" spans="1:8" x14ac:dyDescent="0.2">
      <c r="D14" s="11"/>
      <c r="F14" s="28"/>
      <c r="G14" s="28"/>
      <c r="H14" s="28"/>
    </row>
    <row r="15" spans="1:8" ht="30.75" customHeight="1" x14ac:dyDescent="0.2">
      <c r="B15" s="147" t="s">
        <v>174</v>
      </c>
      <c r="C15" s="147"/>
      <c r="D15" s="147"/>
      <c r="E15" s="147"/>
      <c r="F15" s="147"/>
      <c r="G15" s="147"/>
      <c r="H15" s="147"/>
    </row>
    <row r="16" spans="1:8" x14ac:dyDescent="0.2">
      <c r="A16" s="156" t="s">
        <v>0</v>
      </c>
      <c r="B16" s="156"/>
      <c r="C16" s="156"/>
      <c r="D16" s="156"/>
      <c r="E16" s="156"/>
      <c r="F16" s="156"/>
      <c r="G16" s="156"/>
      <c r="H16" s="156"/>
    </row>
    <row r="17" spans="1:8" x14ac:dyDescent="0.2">
      <c r="H17" s="28"/>
    </row>
    <row r="18" spans="1:8" x14ac:dyDescent="0.2">
      <c r="B18" s="27" t="s">
        <v>178</v>
      </c>
      <c r="D18" s="11"/>
      <c r="E18" s="28"/>
      <c r="F18" s="28"/>
      <c r="G18" s="28"/>
      <c r="H18" s="28"/>
    </row>
    <row r="19" spans="1:8" hidden="1" x14ac:dyDescent="0.2">
      <c r="D19" s="11"/>
      <c r="E19" s="28"/>
      <c r="F19" s="28"/>
      <c r="G19" s="28"/>
      <c r="H19" s="28"/>
    </row>
    <row r="20" spans="1:8" hidden="1" x14ac:dyDescent="0.2">
      <c r="D20" s="28"/>
      <c r="E20" s="28"/>
      <c r="F20" s="28"/>
      <c r="G20" s="28"/>
      <c r="H20" s="28"/>
    </row>
    <row r="21" spans="1:8" ht="12.75" customHeight="1" x14ac:dyDescent="0.2">
      <c r="A21" s="131" t="s">
        <v>1</v>
      </c>
      <c r="B21" s="132" t="s">
        <v>10</v>
      </c>
      <c r="C21" s="132" t="s">
        <v>11</v>
      </c>
      <c r="D21" s="133" t="s">
        <v>17</v>
      </c>
      <c r="E21" s="133"/>
      <c r="F21" s="133"/>
      <c r="G21" s="133"/>
      <c r="H21" s="131" t="s">
        <v>18</v>
      </c>
    </row>
    <row r="22" spans="1:8" x14ac:dyDescent="0.2">
      <c r="A22" s="131"/>
      <c r="B22" s="132"/>
      <c r="C22" s="132"/>
      <c r="D22" s="131" t="s">
        <v>12</v>
      </c>
      <c r="E22" s="131" t="s">
        <v>2</v>
      </c>
      <c r="F22" s="131" t="s">
        <v>3</v>
      </c>
      <c r="G22" s="131" t="s">
        <v>4</v>
      </c>
      <c r="H22" s="131"/>
    </row>
    <row r="23" spans="1:8" x14ac:dyDescent="0.2">
      <c r="A23" s="131"/>
      <c r="B23" s="132"/>
      <c r="C23" s="132"/>
      <c r="D23" s="131"/>
      <c r="E23" s="131"/>
      <c r="F23" s="131"/>
      <c r="G23" s="131"/>
      <c r="H23" s="131"/>
    </row>
    <row r="24" spans="1:8" x14ac:dyDescent="0.2">
      <c r="A24" s="131"/>
      <c r="B24" s="132"/>
      <c r="C24" s="132"/>
      <c r="D24" s="131"/>
      <c r="E24" s="131"/>
      <c r="F24" s="131"/>
      <c r="G24" s="131"/>
      <c r="H24" s="131"/>
    </row>
    <row r="25" spans="1:8" x14ac:dyDescent="0.2">
      <c r="A25" s="15">
        <v>1</v>
      </c>
      <c r="B25" s="16">
        <v>2</v>
      </c>
      <c r="C25" s="16">
        <v>3</v>
      </c>
      <c r="D25" s="15">
        <v>4</v>
      </c>
      <c r="E25" s="15">
        <v>5</v>
      </c>
      <c r="F25" s="15">
        <v>6</v>
      </c>
      <c r="G25" s="15">
        <v>7</v>
      </c>
      <c r="H25" s="15">
        <v>8</v>
      </c>
    </row>
    <row r="26" spans="1:8" x14ac:dyDescent="0.2">
      <c r="A26" s="137" t="s">
        <v>19</v>
      </c>
      <c r="B26" s="138"/>
      <c r="C26" s="138"/>
      <c r="D26" s="139"/>
      <c r="E26" s="139"/>
      <c r="F26" s="139"/>
      <c r="G26" s="139"/>
      <c r="H26" s="139"/>
    </row>
    <row r="27" spans="1:8" x14ac:dyDescent="0.2">
      <c r="A27" s="31">
        <v>1</v>
      </c>
      <c r="B27" s="36" t="s">
        <v>20</v>
      </c>
      <c r="C27" s="36" t="s">
        <v>21</v>
      </c>
      <c r="D27" s="33">
        <v>30.588000000000001</v>
      </c>
      <c r="E27" s="33">
        <v>44.421999999999997</v>
      </c>
      <c r="F27" s="34"/>
      <c r="G27" s="34"/>
      <c r="H27" s="33">
        <f>SUM(D27:G27)</f>
        <v>75.009999999999991</v>
      </c>
    </row>
    <row r="28" spans="1:8" ht="27.95" customHeight="1" x14ac:dyDescent="0.2">
      <c r="A28" s="35"/>
      <c r="B28" s="140" t="s">
        <v>22</v>
      </c>
      <c r="C28" s="141"/>
      <c r="D28" s="33">
        <f>SUM(D27)</f>
        <v>30.588000000000001</v>
      </c>
      <c r="E28" s="33">
        <f>SUM(E27)</f>
        <v>44.421999999999997</v>
      </c>
      <c r="F28" s="34"/>
      <c r="G28" s="34"/>
      <c r="H28" s="33">
        <f>SUM(D28:G28)</f>
        <v>75.009999999999991</v>
      </c>
    </row>
    <row r="29" spans="1:8" x14ac:dyDescent="0.2">
      <c r="A29" s="134" t="s">
        <v>23</v>
      </c>
      <c r="B29" s="135"/>
      <c r="C29" s="135"/>
      <c r="D29" s="136"/>
      <c r="E29" s="136"/>
      <c r="F29" s="136"/>
      <c r="G29" s="136"/>
      <c r="H29" s="136"/>
    </row>
    <row r="30" spans="1:8" x14ac:dyDescent="0.2">
      <c r="A30" s="31">
        <v>2</v>
      </c>
      <c r="B30" s="36" t="s">
        <v>24</v>
      </c>
      <c r="C30" s="36" t="s">
        <v>91</v>
      </c>
      <c r="D30" s="33">
        <v>115.678</v>
      </c>
      <c r="E30" s="33">
        <v>705.55399999999997</v>
      </c>
      <c r="F30" s="33">
        <v>8048.1530000000002</v>
      </c>
      <c r="G30" s="34"/>
      <c r="H30" s="33">
        <f>SUM(D30:G30)</f>
        <v>8869.3850000000002</v>
      </c>
    </row>
    <row r="31" spans="1:8" x14ac:dyDescent="0.2">
      <c r="A31" s="31">
        <v>3</v>
      </c>
      <c r="B31" s="36" t="s">
        <v>25</v>
      </c>
      <c r="C31" s="36" t="s">
        <v>26</v>
      </c>
      <c r="D31" s="33">
        <v>444.65899999999999</v>
      </c>
      <c r="E31" s="33">
        <v>1179.059</v>
      </c>
      <c r="F31" s="33"/>
      <c r="G31" s="34"/>
      <c r="H31" s="33">
        <f t="shared" ref="H31:H62" si="0">SUM(D31:G31)</f>
        <v>1623.7179999999998</v>
      </c>
    </row>
    <row r="32" spans="1:8" x14ac:dyDescent="0.2">
      <c r="A32" s="31">
        <v>4</v>
      </c>
      <c r="B32" s="36" t="s">
        <v>27</v>
      </c>
      <c r="C32" s="36" t="s">
        <v>28</v>
      </c>
      <c r="D32" s="33">
        <v>249.61699999999999</v>
      </c>
      <c r="E32" s="34"/>
      <c r="F32" s="34"/>
      <c r="G32" s="34"/>
      <c r="H32" s="33">
        <f t="shared" si="0"/>
        <v>249.61699999999999</v>
      </c>
    </row>
    <row r="33" spans="1:8" x14ac:dyDescent="0.2">
      <c r="A33" s="31">
        <v>5</v>
      </c>
      <c r="B33" s="36" t="s">
        <v>29</v>
      </c>
      <c r="C33" s="36" t="s">
        <v>30</v>
      </c>
      <c r="D33" s="33">
        <v>0.02</v>
      </c>
      <c r="E33" s="33">
        <v>73.956999999999994</v>
      </c>
      <c r="F33" s="34"/>
      <c r="G33" s="34"/>
      <c r="H33" s="33">
        <f t="shared" si="0"/>
        <v>73.97699999999999</v>
      </c>
    </row>
    <row r="34" spans="1:8" x14ac:dyDescent="0.2">
      <c r="A34" s="31">
        <v>6</v>
      </c>
      <c r="B34" s="36" t="s">
        <v>31</v>
      </c>
      <c r="C34" s="36" t="s">
        <v>32</v>
      </c>
      <c r="D34" s="33">
        <v>1.5920000000000001</v>
      </c>
      <c r="E34" s="33">
        <v>14.041</v>
      </c>
      <c r="F34" s="34"/>
      <c r="G34" s="34"/>
      <c r="H34" s="33">
        <f t="shared" si="0"/>
        <v>15.633000000000001</v>
      </c>
    </row>
    <row r="35" spans="1:8" ht="27.95" customHeight="1" x14ac:dyDescent="0.2">
      <c r="A35" s="35"/>
      <c r="B35" s="140" t="s">
        <v>33</v>
      </c>
      <c r="C35" s="141"/>
      <c r="D35" s="33">
        <f>SUM(D30:D34)</f>
        <v>811.56599999999992</v>
      </c>
      <c r="E35" s="33">
        <f t="shared" ref="E35:F35" si="1">SUM(E30:E34)</f>
        <v>1972.6109999999996</v>
      </c>
      <c r="F35" s="33">
        <f t="shared" si="1"/>
        <v>8048.1530000000002</v>
      </c>
      <c r="G35" s="34"/>
      <c r="H35" s="33">
        <f t="shared" si="0"/>
        <v>10832.33</v>
      </c>
    </row>
    <row r="36" spans="1:8" x14ac:dyDescent="0.2">
      <c r="A36" s="134" t="s">
        <v>34</v>
      </c>
      <c r="B36" s="135"/>
      <c r="C36" s="135"/>
      <c r="D36" s="136"/>
      <c r="E36" s="136"/>
      <c r="F36" s="136"/>
      <c r="G36" s="136"/>
      <c r="H36" s="136"/>
    </row>
    <row r="37" spans="1:8" ht="15.75" customHeight="1" x14ac:dyDescent="0.2">
      <c r="A37" s="31">
        <v>7</v>
      </c>
      <c r="B37" s="36" t="s">
        <v>35</v>
      </c>
      <c r="C37" s="36" t="s">
        <v>36</v>
      </c>
      <c r="D37" s="33">
        <v>110.102</v>
      </c>
      <c r="E37" s="34"/>
      <c r="F37" s="34"/>
      <c r="G37" s="34"/>
      <c r="H37" s="33">
        <f t="shared" si="0"/>
        <v>110.102</v>
      </c>
    </row>
    <row r="38" spans="1:8" ht="27.95" customHeight="1" x14ac:dyDescent="0.2">
      <c r="A38" s="35"/>
      <c r="B38" s="140" t="s">
        <v>37</v>
      </c>
      <c r="C38" s="141"/>
      <c r="D38" s="33">
        <f>D37</f>
        <v>110.102</v>
      </c>
      <c r="E38" s="34"/>
      <c r="F38" s="34"/>
      <c r="G38" s="34"/>
      <c r="H38" s="33">
        <f t="shared" si="0"/>
        <v>110.102</v>
      </c>
    </row>
    <row r="39" spans="1:8" x14ac:dyDescent="0.2">
      <c r="A39" s="134" t="s">
        <v>38</v>
      </c>
      <c r="B39" s="135"/>
      <c r="C39" s="135"/>
      <c r="D39" s="136"/>
      <c r="E39" s="136"/>
      <c r="F39" s="136"/>
      <c r="G39" s="136"/>
      <c r="H39" s="136"/>
    </row>
    <row r="40" spans="1:8" ht="14.25" customHeight="1" x14ac:dyDescent="0.2">
      <c r="A40" s="31">
        <v>8</v>
      </c>
      <c r="B40" s="36" t="s">
        <v>39</v>
      </c>
      <c r="C40" s="36" t="s">
        <v>40</v>
      </c>
      <c r="D40" s="46">
        <v>203.43100000000001</v>
      </c>
      <c r="E40" s="37"/>
      <c r="F40" s="37"/>
      <c r="G40" s="37"/>
      <c r="H40" s="33">
        <f t="shared" si="0"/>
        <v>203.43100000000001</v>
      </c>
    </row>
    <row r="41" spans="1:8" ht="27.95" customHeight="1" x14ac:dyDescent="0.2">
      <c r="A41" s="35"/>
      <c r="B41" s="140" t="s">
        <v>41</v>
      </c>
      <c r="C41" s="141"/>
      <c r="D41" s="46">
        <f>D40</f>
        <v>203.43100000000001</v>
      </c>
      <c r="E41" s="37"/>
      <c r="F41" s="37"/>
      <c r="G41" s="37"/>
      <c r="H41" s="33">
        <f t="shared" si="0"/>
        <v>203.43100000000001</v>
      </c>
    </row>
    <row r="42" spans="1:8" x14ac:dyDescent="0.2">
      <c r="A42" s="35"/>
      <c r="B42" s="140" t="s">
        <v>42</v>
      </c>
      <c r="C42" s="141"/>
      <c r="D42" s="38">
        <f>D28+D35+D38+D41</f>
        <v>1155.6869999999999</v>
      </c>
      <c r="E42" s="38">
        <f t="shared" ref="E42:F42" si="2">E28+E35+E38+E41</f>
        <v>2017.0329999999997</v>
      </c>
      <c r="F42" s="38">
        <f t="shared" si="2"/>
        <v>8048.1530000000002</v>
      </c>
      <c r="G42" s="37"/>
      <c r="H42" s="33">
        <f t="shared" si="0"/>
        <v>11220.873</v>
      </c>
    </row>
    <row r="43" spans="1:8" hidden="1" x14ac:dyDescent="0.2">
      <c r="A43" s="134" t="s">
        <v>43</v>
      </c>
      <c r="B43" s="135"/>
      <c r="C43" s="135"/>
      <c r="D43" s="136"/>
      <c r="E43" s="136"/>
      <c r="F43" s="136"/>
      <c r="G43" s="136"/>
      <c r="H43" s="136"/>
    </row>
    <row r="44" spans="1:8" hidden="1" x14ac:dyDescent="0.2">
      <c r="A44" s="35"/>
      <c r="B44" s="140" t="s">
        <v>44</v>
      </c>
      <c r="C44" s="141"/>
      <c r="D44" s="38">
        <f>D42</f>
        <v>1155.6869999999999</v>
      </c>
      <c r="E44" s="38">
        <f t="shared" ref="E44:F44" si="3">E42</f>
        <v>2017.0329999999997</v>
      </c>
      <c r="F44" s="38">
        <f t="shared" si="3"/>
        <v>8048.1530000000002</v>
      </c>
      <c r="G44" s="37"/>
      <c r="H44" s="33">
        <f t="shared" si="0"/>
        <v>11220.873</v>
      </c>
    </row>
    <row r="45" spans="1:8" x14ac:dyDescent="0.2">
      <c r="A45" s="134" t="s">
        <v>45</v>
      </c>
      <c r="B45" s="135"/>
      <c r="C45" s="135"/>
      <c r="D45" s="136"/>
      <c r="E45" s="136"/>
      <c r="F45" s="136"/>
      <c r="G45" s="136"/>
      <c r="H45" s="136"/>
    </row>
    <row r="46" spans="1:8" ht="15.75" customHeight="1" x14ac:dyDescent="0.2">
      <c r="A46" s="31">
        <v>9</v>
      </c>
      <c r="B46" s="36" t="s">
        <v>46</v>
      </c>
      <c r="C46" s="36" t="s">
        <v>47</v>
      </c>
      <c r="D46" s="33">
        <f>D44*4.97%</f>
        <v>57.437643899999991</v>
      </c>
      <c r="E46" s="33">
        <f>E44*4.97%</f>
        <v>100.24654009999998</v>
      </c>
      <c r="F46" s="34"/>
      <c r="G46" s="34"/>
      <c r="H46" s="33">
        <f t="shared" si="0"/>
        <v>157.68418399999996</v>
      </c>
    </row>
    <row r="47" spans="1:8" ht="15.75" customHeight="1" x14ac:dyDescent="0.2">
      <c r="A47" s="31">
        <v>10</v>
      </c>
      <c r="B47" s="36" t="s">
        <v>48</v>
      </c>
      <c r="C47" s="36" t="s">
        <v>49</v>
      </c>
      <c r="D47" s="33">
        <f>D44*0.4%</f>
        <v>4.6227479999999996</v>
      </c>
      <c r="E47" s="33">
        <f>E44*0.4%</f>
        <v>8.0681319999999985</v>
      </c>
      <c r="F47" s="34"/>
      <c r="G47" s="34"/>
      <c r="H47" s="33">
        <f t="shared" si="0"/>
        <v>12.690879999999998</v>
      </c>
    </row>
    <row r="48" spans="1:8" x14ac:dyDescent="0.2">
      <c r="A48" s="31">
        <v>11</v>
      </c>
      <c r="B48" s="36" t="s">
        <v>50</v>
      </c>
      <c r="C48" s="36" t="s">
        <v>51</v>
      </c>
      <c r="D48" s="34"/>
      <c r="E48" s="34"/>
      <c r="F48" s="34"/>
      <c r="G48" s="33">
        <v>24.122</v>
      </c>
      <c r="H48" s="33">
        <f t="shared" si="0"/>
        <v>24.122</v>
      </c>
    </row>
    <row r="49" spans="1:8" x14ac:dyDescent="0.2">
      <c r="A49" s="31">
        <v>12</v>
      </c>
      <c r="B49" s="36" t="s">
        <v>52</v>
      </c>
      <c r="C49" s="36" t="s">
        <v>53</v>
      </c>
      <c r="D49" s="34"/>
      <c r="E49" s="34"/>
      <c r="F49" s="34"/>
      <c r="G49" s="33">
        <v>281.03800000000001</v>
      </c>
      <c r="H49" s="33">
        <f t="shared" si="0"/>
        <v>281.03800000000001</v>
      </c>
    </row>
    <row r="50" spans="1:8" ht="13.5" customHeight="1" x14ac:dyDescent="0.2">
      <c r="A50" s="31">
        <v>13</v>
      </c>
      <c r="B50" s="36" t="s">
        <v>54</v>
      </c>
      <c r="C50" s="36" t="s">
        <v>55</v>
      </c>
      <c r="D50" s="34"/>
      <c r="E50" s="34"/>
      <c r="F50" s="34"/>
      <c r="G50" s="33">
        <v>16.922999999999998</v>
      </c>
      <c r="H50" s="33">
        <f t="shared" si="0"/>
        <v>16.922999999999998</v>
      </c>
    </row>
    <row r="51" spans="1:8" ht="25.5" x14ac:dyDescent="0.2">
      <c r="A51" s="31">
        <v>14</v>
      </c>
      <c r="B51" s="36" t="s">
        <v>56</v>
      </c>
      <c r="C51" s="36" t="s">
        <v>57</v>
      </c>
      <c r="D51" s="34"/>
      <c r="E51" s="34"/>
      <c r="F51" s="34"/>
      <c r="G51" s="33">
        <v>37.609000000000002</v>
      </c>
      <c r="H51" s="33">
        <f t="shared" si="0"/>
        <v>37.609000000000002</v>
      </c>
    </row>
    <row r="52" spans="1:8" x14ac:dyDescent="0.2">
      <c r="A52" s="31">
        <v>15</v>
      </c>
      <c r="B52" s="36" t="s">
        <v>58</v>
      </c>
      <c r="C52" s="36" t="s">
        <v>59</v>
      </c>
      <c r="D52" s="34"/>
      <c r="E52" s="34"/>
      <c r="F52" s="34"/>
      <c r="G52" s="33">
        <v>41.045000000000002</v>
      </c>
      <c r="H52" s="33">
        <f t="shared" si="0"/>
        <v>41.045000000000002</v>
      </c>
    </row>
    <row r="53" spans="1:8" x14ac:dyDescent="0.2">
      <c r="A53" s="35"/>
      <c r="B53" s="140" t="s">
        <v>60</v>
      </c>
      <c r="C53" s="141"/>
      <c r="D53" s="33">
        <f>SUM(D46:D52)</f>
        <v>62.060391899999992</v>
      </c>
      <c r="E53" s="33">
        <f t="shared" ref="E53:H53" si="4">SUM(E46:E52)</f>
        <v>108.31467209999997</v>
      </c>
      <c r="F53" s="33">
        <f t="shared" si="4"/>
        <v>0</v>
      </c>
      <c r="G53" s="33">
        <f t="shared" si="4"/>
        <v>400.73700000000002</v>
      </c>
      <c r="H53" s="33">
        <f t="shared" si="4"/>
        <v>571.11206399999992</v>
      </c>
    </row>
    <row r="54" spans="1:8" x14ac:dyDescent="0.2">
      <c r="A54" s="35"/>
      <c r="B54" s="140" t="s">
        <v>61</v>
      </c>
      <c r="C54" s="141"/>
      <c r="D54" s="33">
        <f>D44+D53</f>
        <v>1217.7473918999999</v>
      </c>
      <c r="E54" s="33">
        <f t="shared" ref="E54:G54" si="5">E44+E53</f>
        <v>2125.3476720999997</v>
      </c>
      <c r="F54" s="33">
        <f t="shared" si="5"/>
        <v>8048.1530000000002</v>
      </c>
      <c r="G54" s="33">
        <f t="shared" si="5"/>
        <v>400.73700000000002</v>
      </c>
      <c r="H54" s="33">
        <f t="shared" si="0"/>
        <v>11791.985063999999</v>
      </c>
    </row>
    <row r="55" spans="1:8" hidden="1" x14ac:dyDescent="0.2">
      <c r="A55" s="134" t="s">
        <v>62</v>
      </c>
      <c r="B55" s="135"/>
      <c r="C55" s="135"/>
      <c r="D55" s="136"/>
      <c r="E55" s="136"/>
      <c r="F55" s="136"/>
      <c r="G55" s="136"/>
      <c r="H55" s="136"/>
    </row>
    <row r="56" spans="1:8" ht="24.75" hidden="1" customHeight="1" x14ac:dyDescent="0.2">
      <c r="A56" s="31">
        <v>16</v>
      </c>
      <c r="B56" s="36" t="s">
        <v>89</v>
      </c>
      <c r="C56" s="36" t="s">
        <v>63</v>
      </c>
      <c r="D56" s="37"/>
      <c r="E56" s="37"/>
      <c r="F56" s="37"/>
      <c r="G56" s="38"/>
      <c r="H56" s="33"/>
    </row>
    <row r="57" spans="1:8" ht="39.75" hidden="1" customHeight="1" x14ac:dyDescent="0.2">
      <c r="A57" s="39"/>
      <c r="B57" s="40" t="s">
        <v>90</v>
      </c>
      <c r="C57" s="40" t="s">
        <v>93</v>
      </c>
      <c r="D57" s="37"/>
      <c r="E57" s="37"/>
      <c r="F57" s="37"/>
      <c r="G57" s="41"/>
      <c r="H57" s="33"/>
    </row>
    <row r="58" spans="1:8" ht="27.95" hidden="1" customHeight="1" x14ac:dyDescent="0.2">
      <c r="A58" s="35"/>
      <c r="B58" s="140" t="s">
        <v>64</v>
      </c>
      <c r="C58" s="141"/>
      <c r="D58" s="37"/>
      <c r="E58" s="37"/>
      <c r="F58" s="37"/>
      <c r="G58" s="38"/>
      <c r="H58" s="33"/>
    </row>
    <row r="59" spans="1:8" hidden="1" x14ac:dyDescent="0.2">
      <c r="A59" s="134" t="s">
        <v>65</v>
      </c>
      <c r="B59" s="135"/>
      <c r="C59" s="135"/>
      <c r="D59" s="136"/>
      <c r="E59" s="136"/>
      <c r="F59" s="136"/>
      <c r="G59" s="136"/>
      <c r="H59" s="136"/>
    </row>
    <row r="60" spans="1:8" ht="41.25" hidden="1" customHeight="1" x14ac:dyDescent="0.2">
      <c r="A60" s="31">
        <v>17</v>
      </c>
      <c r="B60" s="36" t="s">
        <v>66</v>
      </c>
      <c r="C60" s="36" t="s">
        <v>67</v>
      </c>
      <c r="D60" s="37"/>
      <c r="E60" s="37"/>
      <c r="F60" s="37"/>
      <c r="G60" s="33"/>
      <c r="H60" s="33"/>
    </row>
    <row r="61" spans="1:8" ht="27.95" hidden="1" customHeight="1" x14ac:dyDescent="0.2">
      <c r="A61" s="35"/>
      <c r="B61" s="140" t="s">
        <v>68</v>
      </c>
      <c r="C61" s="141"/>
      <c r="D61" s="37"/>
      <c r="E61" s="37"/>
      <c r="F61" s="37"/>
      <c r="G61" s="33"/>
      <c r="H61" s="33"/>
    </row>
    <row r="62" spans="1:8" x14ac:dyDescent="0.2">
      <c r="A62" s="35"/>
      <c r="B62" s="140" t="s">
        <v>69</v>
      </c>
      <c r="C62" s="141"/>
      <c r="D62" s="38">
        <f>D54+D58+D61</f>
        <v>1217.7473918999999</v>
      </c>
      <c r="E62" s="38">
        <f t="shared" ref="E62:G62" si="6">E54+E58+E61</f>
        <v>2125.3476720999997</v>
      </c>
      <c r="F62" s="38">
        <f t="shared" si="6"/>
        <v>8048.1530000000002</v>
      </c>
      <c r="G62" s="38">
        <f t="shared" si="6"/>
        <v>400.73700000000002</v>
      </c>
      <c r="H62" s="33">
        <f t="shared" si="0"/>
        <v>11791.985063999999</v>
      </c>
    </row>
    <row r="63" spans="1:8" x14ac:dyDescent="0.2">
      <c r="A63" s="134" t="s">
        <v>70</v>
      </c>
      <c r="B63" s="135"/>
      <c r="C63" s="135"/>
      <c r="D63" s="136"/>
      <c r="E63" s="136"/>
      <c r="F63" s="136"/>
      <c r="G63" s="136"/>
      <c r="H63" s="136"/>
    </row>
    <row r="64" spans="1:8" x14ac:dyDescent="0.2">
      <c r="A64" s="17">
        <v>18</v>
      </c>
      <c r="B64" s="30" t="s">
        <v>71</v>
      </c>
      <c r="C64" s="30" t="s">
        <v>168</v>
      </c>
      <c r="D64" s="105">
        <f>D62*1.5%</f>
        <v>18.266210878499997</v>
      </c>
      <c r="E64" s="105">
        <f t="shared" ref="E64:G64" si="7">E62*1.5%</f>
        <v>31.880215081499994</v>
      </c>
      <c r="F64" s="105">
        <f t="shared" si="7"/>
        <v>120.722295</v>
      </c>
      <c r="G64" s="105">
        <f t="shared" si="7"/>
        <v>6.0110549999999998</v>
      </c>
      <c r="H64" s="106">
        <f>SUM(D64:G64)</f>
        <v>176.87977595999999</v>
      </c>
    </row>
    <row r="65" spans="1:15" x14ac:dyDescent="0.2">
      <c r="A65" s="19"/>
      <c r="B65" s="144" t="s">
        <v>78</v>
      </c>
      <c r="C65" s="138"/>
      <c r="D65" s="105">
        <f>D62+D64</f>
        <v>1236.0136027784999</v>
      </c>
      <c r="E65" s="105">
        <f t="shared" ref="E65:G65" si="8">E62+E64</f>
        <v>2157.2278871814997</v>
      </c>
      <c r="F65" s="105">
        <f t="shared" si="8"/>
        <v>8168.8752949999998</v>
      </c>
      <c r="G65" s="105">
        <f t="shared" si="8"/>
        <v>406.74805500000002</v>
      </c>
      <c r="H65" s="106">
        <f>SUM(D65:G65)</f>
        <v>11968.864839959999</v>
      </c>
    </row>
    <row r="66" spans="1:15" x14ac:dyDescent="0.2">
      <c r="A66" s="19"/>
      <c r="B66" s="144" t="s">
        <v>185</v>
      </c>
      <c r="C66" s="145"/>
      <c r="D66" s="105">
        <f>D65</f>
        <v>1236.0136027784999</v>
      </c>
      <c r="E66" s="105">
        <f t="shared" ref="E66:G66" si="9">E65</f>
        <v>2157.2278871814997</v>
      </c>
      <c r="F66" s="105">
        <f t="shared" si="9"/>
        <v>8168.8752949999998</v>
      </c>
      <c r="G66" s="105">
        <f t="shared" si="9"/>
        <v>406.74805500000002</v>
      </c>
      <c r="H66" s="106">
        <f>SUM(D66:G66)</f>
        <v>11968.864839959999</v>
      </c>
      <c r="J66" s="22" t="s">
        <v>109</v>
      </c>
      <c r="K66" s="22" t="s">
        <v>110</v>
      </c>
      <c r="L66" s="22" t="s">
        <v>111</v>
      </c>
      <c r="M66" s="22" t="s">
        <v>112</v>
      </c>
    </row>
    <row r="67" spans="1:15" hidden="1" x14ac:dyDescent="0.2">
      <c r="A67" s="157">
        <v>11</v>
      </c>
      <c r="B67" s="157" t="s">
        <v>94</v>
      </c>
      <c r="C67" s="47" t="s">
        <v>95</v>
      </c>
      <c r="D67" s="107">
        <f>D66*7.1</f>
        <v>8775.6965797273497</v>
      </c>
      <c r="E67" s="107">
        <f>E66*7.1</f>
        <v>15316.317998988647</v>
      </c>
      <c r="F67" s="107"/>
      <c r="G67" s="107"/>
      <c r="H67" s="107">
        <f>D67+E67+F67+G67</f>
        <v>24092.014578715996</v>
      </c>
      <c r="J67" s="48">
        <f>G49*1.03</f>
        <v>289.46914000000004</v>
      </c>
      <c r="K67" s="48">
        <f>G60*1.03</f>
        <v>0</v>
      </c>
      <c r="L67" s="48">
        <f>(G48+G50+G51+G58+G52)*1.03</f>
        <v>123.28997</v>
      </c>
      <c r="M67" s="48">
        <f>L67+K67+J67</f>
        <v>412.75911000000002</v>
      </c>
      <c r="N67" s="49"/>
      <c r="O67" s="49"/>
    </row>
    <row r="68" spans="1:15" hidden="1" x14ac:dyDescent="0.2">
      <c r="A68" s="158"/>
      <c r="B68" s="158"/>
      <c r="C68" s="47" t="s">
        <v>96</v>
      </c>
      <c r="D68" s="107"/>
      <c r="E68" s="107"/>
      <c r="F68" s="107">
        <f>F66*3.82</f>
        <v>31205.1036269</v>
      </c>
      <c r="G68" s="107"/>
      <c r="H68" s="107">
        <f>D68+E68+F68+G68</f>
        <v>31205.1036269</v>
      </c>
      <c r="J68" s="48"/>
      <c r="K68" s="48">
        <f>K67*3.53</f>
        <v>0</v>
      </c>
      <c r="L68" s="48"/>
      <c r="M68" s="48"/>
      <c r="N68" s="49"/>
      <c r="O68" s="49"/>
    </row>
    <row r="69" spans="1:15" hidden="1" x14ac:dyDescent="0.2">
      <c r="A69" s="158"/>
      <c r="B69" s="158"/>
      <c r="C69" s="47" t="s">
        <v>97</v>
      </c>
      <c r="D69" s="107"/>
      <c r="E69" s="107"/>
      <c r="F69" s="107"/>
      <c r="G69" s="107">
        <f>J67*15.97</f>
        <v>4622.8221658000011</v>
      </c>
      <c r="H69" s="107">
        <f>D69+E69+F69+G69</f>
        <v>4622.8221658000011</v>
      </c>
      <c r="J69" s="49"/>
      <c r="K69" s="49"/>
      <c r="L69" s="49"/>
      <c r="M69" s="49"/>
      <c r="N69" s="49"/>
      <c r="O69" s="49"/>
    </row>
    <row r="70" spans="1:15" hidden="1" x14ac:dyDescent="0.2">
      <c r="A70" s="158"/>
      <c r="B70" s="158"/>
      <c r="C70" s="47" t="s">
        <v>98</v>
      </c>
      <c r="D70" s="107"/>
      <c r="E70" s="107"/>
      <c r="F70" s="107"/>
      <c r="G70" s="107">
        <f>K67*3.53</f>
        <v>0</v>
      </c>
      <c r="H70" s="107">
        <f>D70+E70+F70+G70</f>
        <v>0</v>
      </c>
      <c r="J70" s="49"/>
      <c r="K70" s="49"/>
      <c r="L70" s="49"/>
      <c r="M70" s="49"/>
      <c r="N70" s="49"/>
      <c r="O70" s="49"/>
    </row>
    <row r="71" spans="1:15" hidden="1" x14ac:dyDescent="0.2">
      <c r="A71" s="159"/>
      <c r="B71" s="159"/>
      <c r="C71" s="47" t="s">
        <v>99</v>
      </c>
      <c r="D71" s="107"/>
      <c r="E71" s="107"/>
      <c r="F71" s="107"/>
      <c r="G71" s="107">
        <f>L67*7.53</f>
        <v>928.37347409999995</v>
      </c>
      <c r="H71" s="107">
        <f>D71+E71+F71+G71</f>
        <v>928.37347409999995</v>
      </c>
      <c r="J71" s="49"/>
      <c r="K71" s="49"/>
      <c r="L71" s="49"/>
      <c r="M71" s="49"/>
      <c r="N71" s="49"/>
      <c r="O71" s="49"/>
    </row>
    <row r="72" spans="1:15" hidden="1" x14ac:dyDescent="0.2">
      <c r="A72" s="160" t="s">
        <v>100</v>
      </c>
      <c r="B72" s="161"/>
      <c r="C72" s="162"/>
      <c r="D72" s="107">
        <f>D71+D70+D69+D68+D67</f>
        <v>8775.6965797273497</v>
      </c>
      <c r="E72" s="107">
        <f>E71+E70+E69+E68+E67</f>
        <v>15316.317998988647</v>
      </c>
      <c r="F72" s="107">
        <f>F71+F70+F69+F68+F67</f>
        <v>31205.1036269</v>
      </c>
      <c r="G72" s="107">
        <f>G71+G70+G69+G68+G67</f>
        <v>5551.195639900001</v>
      </c>
      <c r="H72" s="107">
        <f>G72+F72+E72+D72</f>
        <v>60848.313845516001</v>
      </c>
    </row>
    <row r="73" spans="1:15" hidden="1" x14ac:dyDescent="0.2">
      <c r="A73" s="150" t="s">
        <v>101</v>
      </c>
      <c r="B73" s="151"/>
      <c r="C73" s="152"/>
      <c r="D73" s="107">
        <f>D72*1.06</f>
        <v>9302.238374510991</v>
      </c>
      <c r="E73" s="107">
        <f>E72*1.06</f>
        <v>16235.297078927966</v>
      </c>
      <c r="F73" s="107">
        <f>F72*1.06</f>
        <v>33077.409844514004</v>
      </c>
      <c r="G73" s="107">
        <f>(G72-G70)*1.06</f>
        <v>5884.267378294001</v>
      </c>
      <c r="H73" s="107">
        <f t="shared" ref="H73:H80" si="10">G73+F73+E73+D73</f>
        <v>64499.212676246963</v>
      </c>
    </row>
    <row r="74" spans="1:15" hidden="1" x14ac:dyDescent="0.2">
      <c r="A74" s="150" t="s">
        <v>102</v>
      </c>
      <c r="B74" s="151"/>
      <c r="C74" s="152"/>
      <c r="D74" s="107">
        <f>D73*1.049</f>
        <v>9758.0480548620289</v>
      </c>
      <c r="E74" s="107">
        <f>E73*1.049</f>
        <v>17030.826635795434</v>
      </c>
      <c r="F74" s="107">
        <f>F73*1.049</f>
        <v>34698.202926895188</v>
      </c>
      <c r="G74" s="107">
        <f>G73*1.049</f>
        <v>6172.5964798304067</v>
      </c>
      <c r="H74" s="107">
        <f t="shared" si="10"/>
        <v>67659.67409738306</v>
      </c>
    </row>
    <row r="75" spans="1:15" hidden="1" x14ac:dyDescent="0.2">
      <c r="A75" s="150" t="s">
        <v>103</v>
      </c>
      <c r="B75" s="151"/>
      <c r="C75" s="152"/>
      <c r="D75" s="107">
        <f>D74*1.143</f>
        <v>11153.448926707299</v>
      </c>
      <c r="E75" s="107">
        <f>E74*1.143</f>
        <v>19466.234844714181</v>
      </c>
      <c r="F75" s="107">
        <f>F74*1.143</f>
        <v>39660.045945441198</v>
      </c>
      <c r="G75" s="107">
        <f>G74*1.143</f>
        <v>7055.2777764461553</v>
      </c>
      <c r="H75" s="107">
        <f t="shared" si="10"/>
        <v>77335.007493308833</v>
      </c>
    </row>
    <row r="76" spans="1:15" hidden="1" x14ac:dyDescent="0.2">
      <c r="A76" s="150" t="s">
        <v>139</v>
      </c>
      <c r="B76" s="151"/>
      <c r="C76" s="152"/>
      <c r="D76" s="107">
        <f>D75*1.081</f>
        <v>12056.87828977059</v>
      </c>
      <c r="E76" s="107">
        <f t="shared" ref="E76:G76" si="11">E75*1.081</f>
        <v>21042.99986713603</v>
      </c>
      <c r="F76" s="107">
        <f t="shared" si="11"/>
        <v>42872.509667021935</v>
      </c>
      <c r="G76" s="107">
        <f t="shared" si="11"/>
        <v>7626.7552763382937</v>
      </c>
      <c r="H76" s="107">
        <f t="shared" si="10"/>
        <v>83599.14310026684</v>
      </c>
    </row>
    <row r="77" spans="1:15" hidden="1" x14ac:dyDescent="0.2">
      <c r="A77" s="150" t="s">
        <v>140</v>
      </c>
      <c r="B77" s="151"/>
      <c r="C77" s="152"/>
      <c r="D77" s="107">
        <f>D76*1.054</f>
        <v>12707.949717418202</v>
      </c>
      <c r="E77" s="107">
        <f t="shared" ref="E77:G77" si="12">E76*1.054</f>
        <v>22179.321859961376</v>
      </c>
      <c r="F77" s="107">
        <f t="shared" si="12"/>
        <v>45187.625189041122</v>
      </c>
      <c r="G77" s="107">
        <f t="shared" si="12"/>
        <v>8038.6000612605621</v>
      </c>
      <c r="H77" s="107">
        <f t="shared" si="10"/>
        <v>88113.496827681258</v>
      </c>
    </row>
    <row r="78" spans="1:15" hidden="1" x14ac:dyDescent="0.2">
      <c r="A78" s="150" t="s">
        <v>141</v>
      </c>
      <c r="B78" s="151"/>
      <c r="C78" s="152"/>
      <c r="D78" s="107">
        <f>D77*1.044</f>
        <v>13267.099504984602</v>
      </c>
      <c r="E78" s="107">
        <f t="shared" ref="E78:G78" si="13">E77*1.044</f>
        <v>23155.212021799678</v>
      </c>
      <c r="F78" s="107">
        <f t="shared" si="13"/>
        <v>47175.880697358931</v>
      </c>
      <c r="G78" s="107">
        <f t="shared" si="13"/>
        <v>8392.2984639560273</v>
      </c>
      <c r="H78" s="107">
        <f t="shared" si="10"/>
        <v>91990.490688099235</v>
      </c>
    </row>
    <row r="79" spans="1:15" hidden="1" x14ac:dyDescent="0.2">
      <c r="A79" s="150" t="s">
        <v>142</v>
      </c>
      <c r="B79" s="151"/>
      <c r="C79" s="152"/>
      <c r="D79" s="107">
        <f>D78*1.046</f>
        <v>13877.386082213894</v>
      </c>
      <c r="E79" s="107">
        <f t="shared" ref="E79:G79" si="14">E78*1.046</f>
        <v>24220.351774802464</v>
      </c>
      <c r="F79" s="107">
        <f t="shared" si="14"/>
        <v>49345.971209437441</v>
      </c>
      <c r="G79" s="107">
        <f t="shared" si="14"/>
        <v>8778.344193298004</v>
      </c>
      <c r="H79" s="107">
        <f t="shared" si="10"/>
        <v>96222.053259751803</v>
      </c>
    </row>
    <row r="80" spans="1:15" ht="12.75" hidden="1" customHeight="1" x14ac:dyDescent="0.2">
      <c r="A80" s="150" t="s">
        <v>104</v>
      </c>
      <c r="B80" s="151"/>
      <c r="C80" s="152"/>
      <c r="D80" s="107"/>
      <c r="E80" s="107"/>
      <c r="F80" s="107"/>
      <c r="G80" s="107"/>
      <c r="H80" s="107">
        <f t="shared" si="10"/>
        <v>0</v>
      </c>
    </row>
    <row r="81" spans="1:8" hidden="1" x14ac:dyDescent="0.2">
      <c r="A81" s="150" t="s">
        <v>105</v>
      </c>
      <c r="B81" s="151"/>
      <c r="C81" s="152"/>
      <c r="D81" s="107"/>
      <c r="E81" s="107"/>
      <c r="F81" s="107"/>
      <c r="G81" s="107">
        <v>841.24199999999996</v>
      </c>
      <c r="H81" s="107">
        <f>G81</f>
        <v>841.24199999999996</v>
      </c>
    </row>
    <row r="82" spans="1:8" hidden="1" x14ac:dyDescent="0.2">
      <c r="A82" s="150" t="s">
        <v>106</v>
      </c>
      <c r="B82" s="151"/>
      <c r="C82" s="152"/>
      <c r="D82" s="107">
        <f>D81+D79</f>
        <v>13877.386082213894</v>
      </c>
      <c r="E82" s="107">
        <f t="shared" ref="E82:G82" si="15">E81+E79</f>
        <v>24220.351774802464</v>
      </c>
      <c r="F82" s="107">
        <f t="shared" si="15"/>
        <v>49345.971209437441</v>
      </c>
      <c r="G82" s="107">
        <f t="shared" si="15"/>
        <v>9619.5861932980042</v>
      </c>
      <c r="H82" s="107">
        <f>G82+F82+E82+D82</f>
        <v>97063.295259751801</v>
      </c>
    </row>
    <row r="83" spans="1:8" hidden="1" x14ac:dyDescent="0.2">
      <c r="A83" s="50">
        <v>12</v>
      </c>
      <c r="B83" s="51" t="s">
        <v>85</v>
      </c>
      <c r="C83" s="51" t="s">
        <v>107</v>
      </c>
      <c r="D83" s="108">
        <f>D79*18%</f>
        <v>2497.9294947985009</v>
      </c>
      <c r="E83" s="108">
        <f t="shared" ref="E83:G83" si="16">E79*18%</f>
        <v>4359.6633194644437</v>
      </c>
      <c r="F83" s="108">
        <f t="shared" si="16"/>
        <v>8882.2748176987388</v>
      </c>
      <c r="G83" s="108">
        <f t="shared" si="16"/>
        <v>1580.1019547936407</v>
      </c>
      <c r="H83" s="108">
        <f>D83+E83+F83+G83</f>
        <v>17319.969586755324</v>
      </c>
    </row>
    <row r="84" spans="1:8" hidden="1" x14ac:dyDescent="0.2">
      <c r="A84" s="153" t="s">
        <v>108</v>
      </c>
      <c r="B84" s="154"/>
      <c r="C84" s="155"/>
      <c r="D84" s="108">
        <f>D83</f>
        <v>2497.9294947985009</v>
      </c>
      <c r="E84" s="108">
        <f>E83</f>
        <v>4359.6633194644437</v>
      </c>
      <c r="F84" s="108">
        <f>F83</f>
        <v>8882.2748176987388</v>
      </c>
      <c r="G84" s="108">
        <f>G83</f>
        <v>1580.1019547936407</v>
      </c>
      <c r="H84" s="108">
        <f>D84+E84+F84+G84</f>
        <v>17319.969586755324</v>
      </c>
    </row>
    <row r="85" spans="1:8" hidden="1" x14ac:dyDescent="0.2">
      <c r="A85" s="153" t="s">
        <v>106</v>
      </c>
      <c r="B85" s="154"/>
      <c r="C85" s="155"/>
      <c r="D85" s="108">
        <f>D84+D79</f>
        <v>16375.315577012396</v>
      </c>
      <c r="E85" s="108">
        <f t="shared" ref="E85:G85" si="17">E84+E79</f>
        <v>28580.015094266906</v>
      </c>
      <c r="F85" s="108">
        <f t="shared" si="17"/>
        <v>58228.246027136178</v>
      </c>
      <c r="G85" s="108">
        <f t="shared" si="17"/>
        <v>10358.446148091645</v>
      </c>
      <c r="H85" s="108">
        <f>D85+E85+F85+G85</f>
        <v>113542.02284650713</v>
      </c>
    </row>
    <row r="86" spans="1:8" hidden="1" x14ac:dyDescent="0.2"/>
    <row r="87" spans="1:8" hidden="1" x14ac:dyDescent="0.2"/>
    <row r="88" spans="1:8" ht="15" hidden="1" x14ac:dyDescent="0.2">
      <c r="B88" s="90" t="s">
        <v>137</v>
      </c>
      <c r="C88" s="90"/>
      <c r="D88" s="91" t="s">
        <v>138</v>
      </c>
    </row>
    <row r="89" spans="1:8" ht="15" hidden="1" x14ac:dyDescent="0.2">
      <c r="B89" s="90"/>
      <c r="C89" s="90"/>
      <c r="D89" s="92"/>
    </row>
    <row r="90" spans="1:8" ht="15" hidden="1" x14ac:dyDescent="0.2">
      <c r="B90" s="90"/>
      <c r="C90" s="90"/>
      <c r="D90" s="92"/>
    </row>
    <row r="91" spans="1:8" ht="15" hidden="1" x14ac:dyDescent="0.2">
      <c r="B91" s="90" t="s">
        <v>136</v>
      </c>
      <c r="C91" s="90"/>
      <c r="D91" s="91" t="s">
        <v>149</v>
      </c>
    </row>
    <row r="92" spans="1:8" hidden="1" x14ac:dyDescent="0.2"/>
    <row r="93" spans="1:8" x14ac:dyDescent="0.2">
      <c r="A93" s="118">
        <v>10</v>
      </c>
      <c r="B93" s="51"/>
      <c r="C93" s="119" t="s">
        <v>180</v>
      </c>
      <c r="D93" s="120"/>
      <c r="E93" s="120"/>
      <c r="F93" s="120"/>
      <c r="G93" s="120"/>
      <c r="H93" s="120"/>
    </row>
    <row r="94" spans="1:8" ht="12.75" customHeight="1" x14ac:dyDescent="0.2">
      <c r="A94" s="157">
        <v>11</v>
      </c>
      <c r="B94" s="186" t="s">
        <v>179</v>
      </c>
      <c r="C94" s="47" t="s">
        <v>181</v>
      </c>
      <c r="D94" s="107"/>
      <c r="E94" s="107"/>
      <c r="F94" s="107"/>
      <c r="G94" s="107"/>
      <c r="H94" s="107"/>
    </row>
    <row r="95" spans="1:8" x14ac:dyDescent="0.2">
      <c r="A95" s="158"/>
      <c r="B95" s="187"/>
      <c r="C95" s="47" t="s">
        <v>182</v>
      </c>
      <c r="D95" s="107"/>
      <c r="E95" s="107"/>
      <c r="F95" s="107"/>
      <c r="G95" s="107"/>
      <c r="H95" s="107"/>
    </row>
    <row r="96" spans="1:8" x14ac:dyDescent="0.2">
      <c r="A96" s="158"/>
      <c r="B96" s="187"/>
      <c r="C96" s="47" t="s">
        <v>183</v>
      </c>
      <c r="D96" s="107"/>
      <c r="E96" s="107"/>
      <c r="F96" s="107"/>
      <c r="G96" s="107"/>
      <c r="H96" s="107"/>
    </row>
    <row r="97" spans="1:8" ht="12.75" hidden="1" customHeight="1" x14ac:dyDescent="0.2">
      <c r="A97" s="158"/>
      <c r="B97" s="187"/>
      <c r="C97" s="47" t="s">
        <v>98</v>
      </c>
      <c r="D97" s="107"/>
      <c r="E97" s="107"/>
      <c r="F97" s="107"/>
      <c r="G97" s="107"/>
      <c r="H97" s="107"/>
    </row>
    <row r="98" spans="1:8" x14ac:dyDescent="0.2">
      <c r="A98" s="159"/>
      <c r="B98" s="188"/>
      <c r="C98" s="47" t="s">
        <v>184</v>
      </c>
      <c r="D98" s="107"/>
      <c r="E98" s="107"/>
      <c r="F98" s="107"/>
      <c r="G98" s="107"/>
      <c r="H98" s="107"/>
    </row>
    <row r="99" spans="1:8" x14ac:dyDescent="0.2">
      <c r="A99" s="160" t="s">
        <v>100</v>
      </c>
      <c r="B99" s="161"/>
      <c r="C99" s="162"/>
      <c r="D99" s="107"/>
      <c r="E99" s="107"/>
      <c r="F99" s="107"/>
      <c r="G99" s="107"/>
      <c r="H99" s="107"/>
    </row>
    <row r="100" spans="1:8" ht="12.75" hidden="1" customHeight="1" x14ac:dyDescent="0.2">
      <c r="A100" s="150" t="s">
        <v>163</v>
      </c>
      <c r="B100" s="151"/>
      <c r="C100" s="152"/>
      <c r="D100" s="107"/>
      <c r="E100" s="107"/>
      <c r="F100" s="107"/>
      <c r="G100" s="107"/>
      <c r="H100" s="107"/>
    </row>
    <row r="101" spans="1:8" ht="12.75" hidden="1" customHeight="1" x14ac:dyDescent="0.2">
      <c r="A101" s="150" t="s">
        <v>164</v>
      </c>
      <c r="B101" s="151"/>
      <c r="C101" s="152"/>
      <c r="D101" s="107"/>
      <c r="E101" s="107"/>
      <c r="F101" s="107"/>
      <c r="G101" s="107"/>
      <c r="H101" s="107"/>
    </row>
    <row r="102" spans="1:8" ht="12.75" hidden="1" customHeight="1" x14ac:dyDescent="0.2">
      <c r="A102" s="150" t="s">
        <v>165</v>
      </c>
      <c r="B102" s="151"/>
      <c r="C102" s="152"/>
      <c r="D102" s="107"/>
      <c r="E102" s="107"/>
      <c r="F102" s="107"/>
      <c r="G102" s="107"/>
      <c r="H102" s="107"/>
    </row>
    <row r="103" spans="1:8" ht="12.75" hidden="1" customHeight="1" x14ac:dyDescent="0.2">
      <c r="A103" s="150" t="s">
        <v>170</v>
      </c>
      <c r="B103" s="151"/>
      <c r="C103" s="152"/>
      <c r="D103" s="107"/>
      <c r="E103" s="107"/>
      <c r="F103" s="107"/>
      <c r="G103" s="107"/>
      <c r="H103" s="107"/>
    </row>
    <row r="104" spans="1:8" ht="12.75" hidden="1" customHeight="1" x14ac:dyDescent="0.2">
      <c r="A104" s="150" t="s">
        <v>171</v>
      </c>
      <c r="B104" s="151"/>
      <c r="C104" s="152"/>
      <c r="D104" s="107"/>
      <c r="E104" s="107"/>
      <c r="F104" s="107"/>
      <c r="G104" s="107"/>
      <c r="H104" s="107"/>
    </row>
    <row r="105" spans="1:8" ht="12.75" hidden="1" customHeight="1" x14ac:dyDescent="0.2">
      <c r="A105" s="150" t="s">
        <v>172</v>
      </c>
      <c r="B105" s="151"/>
      <c r="C105" s="152"/>
      <c r="D105" s="107"/>
      <c r="E105" s="107"/>
      <c r="F105" s="107"/>
      <c r="G105" s="107"/>
      <c r="H105" s="107"/>
    </row>
    <row r="106" spans="1:8" ht="12.75" hidden="1" customHeight="1" x14ac:dyDescent="0.2">
      <c r="A106" s="150" t="s">
        <v>173</v>
      </c>
      <c r="B106" s="151"/>
      <c r="C106" s="152"/>
      <c r="D106" s="107"/>
      <c r="E106" s="107"/>
      <c r="F106" s="107"/>
      <c r="G106" s="107"/>
      <c r="H106" s="107"/>
    </row>
    <row r="107" spans="1:8" x14ac:dyDescent="0.2">
      <c r="A107" s="150" t="s">
        <v>106</v>
      </c>
      <c r="B107" s="151"/>
      <c r="C107" s="152"/>
      <c r="D107" s="107"/>
      <c r="E107" s="107"/>
      <c r="F107" s="107"/>
      <c r="G107" s="107"/>
      <c r="H107" s="107"/>
    </row>
    <row r="108" spans="1:8" x14ac:dyDescent="0.2">
      <c r="A108" s="50">
        <v>12</v>
      </c>
      <c r="B108" s="51" t="s">
        <v>85</v>
      </c>
      <c r="C108" s="51" t="s">
        <v>107</v>
      </c>
      <c r="D108" s="108"/>
      <c r="E108" s="108"/>
      <c r="F108" s="108"/>
      <c r="G108" s="108"/>
      <c r="H108" s="108"/>
    </row>
    <row r="109" spans="1:8" x14ac:dyDescent="0.2">
      <c r="A109" s="153" t="s">
        <v>108</v>
      </c>
      <c r="B109" s="154"/>
      <c r="C109" s="155"/>
      <c r="D109" s="108"/>
      <c r="E109" s="108"/>
      <c r="F109" s="108"/>
      <c r="G109" s="108"/>
      <c r="H109" s="108"/>
    </row>
    <row r="110" spans="1:8" x14ac:dyDescent="0.2">
      <c r="A110" s="153" t="s">
        <v>186</v>
      </c>
      <c r="B110" s="154"/>
      <c r="C110" s="155"/>
      <c r="D110" s="108"/>
      <c r="E110" s="108"/>
      <c r="F110" s="108"/>
      <c r="G110" s="108"/>
      <c r="H110" s="108"/>
    </row>
    <row r="112" spans="1:8" ht="15" x14ac:dyDescent="0.2">
      <c r="B112" s="128" t="s">
        <v>188</v>
      </c>
      <c r="C112" s="128"/>
      <c r="D112" s="129"/>
      <c r="E112" s="129"/>
      <c r="F112" s="129" t="s">
        <v>187</v>
      </c>
    </row>
    <row r="113" spans="1:8" ht="15.75" hidden="1" x14ac:dyDescent="0.2">
      <c r="B113" s="121"/>
      <c r="C113" s="121"/>
      <c r="D113" s="122"/>
      <c r="E113" s="129"/>
      <c r="F113" s="129"/>
    </row>
    <row r="114" spans="1:8" ht="15.75" hidden="1" x14ac:dyDescent="0.2">
      <c r="B114" s="121"/>
      <c r="C114" s="121"/>
      <c r="D114" s="123"/>
      <c r="E114" s="129"/>
      <c r="F114" s="129"/>
    </row>
    <row r="115" spans="1:8" ht="15.75" hidden="1" x14ac:dyDescent="0.2">
      <c r="B115" s="121"/>
      <c r="C115" s="121"/>
      <c r="D115" s="123"/>
      <c r="E115" s="129"/>
      <c r="F115" s="129"/>
    </row>
    <row r="116" spans="1:8" ht="15.75" hidden="1" x14ac:dyDescent="0.2">
      <c r="B116" s="121"/>
      <c r="C116" s="121"/>
      <c r="D116" s="123"/>
      <c r="E116" s="129"/>
      <c r="F116" s="129"/>
    </row>
    <row r="117" spans="1:8" ht="15.75" hidden="1" x14ac:dyDescent="0.2">
      <c r="B117" s="121"/>
      <c r="C117" s="121"/>
      <c r="D117" s="123"/>
      <c r="E117" s="129"/>
      <c r="F117" s="129"/>
    </row>
    <row r="118" spans="1:8" ht="15.75" hidden="1" x14ac:dyDescent="0.2">
      <c r="B118" s="121"/>
      <c r="C118" s="121"/>
      <c r="D118" s="122"/>
      <c r="E118" s="129"/>
      <c r="F118" s="129"/>
    </row>
    <row r="119" spans="1:8" ht="15" hidden="1" x14ac:dyDescent="0.2">
      <c r="A119" s="124"/>
      <c r="B119" s="130"/>
      <c r="C119" s="130"/>
      <c r="D119" s="130"/>
      <c r="E119" s="130"/>
      <c r="F119" s="130"/>
      <c r="G119" s="124"/>
      <c r="H119" s="124"/>
    </row>
    <row r="120" spans="1:8" ht="15" x14ac:dyDescent="0.2">
      <c r="B120" s="128"/>
      <c r="C120" s="128"/>
      <c r="D120" s="129"/>
      <c r="E120" s="129"/>
      <c r="F120" s="129"/>
    </row>
    <row r="121" spans="1:8" ht="15" x14ac:dyDescent="0.2">
      <c r="B121" s="128"/>
      <c r="C121" s="128"/>
      <c r="D121" s="129"/>
      <c r="E121" s="129"/>
      <c r="F121" s="129"/>
    </row>
  </sheetData>
  <mergeCells count="65">
    <mergeCell ref="F4:H4"/>
    <mergeCell ref="F5:H5"/>
    <mergeCell ref="F6:H6"/>
    <mergeCell ref="A13:H13"/>
    <mergeCell ref="A82:C82"/>
    <mergeCell ref="A84:C84"/>
    <mergeCell ref="A85:C85"/>
    <mergeCell ref="A76:C76"/>
    <mergeCell ref="A77:C77"/>
    <mergeCell ref="A78:C78"/>
    <mergeCell ref="A79:C79"/>
    <mergeCell ref="A80:C80"/>
    <mergeCell ref="A81:C81"/>
    <mergeCell ref="A75:C75"/>
    <mergeCell ref="B62:C62"/>
    <mergeCell ref="A63:H63"/>
    <mergeCell ref="B65:C65"/>
    <mergeCell ref="B66:C66"/>
    <mergeCell ref="A67:A71"/>
    <mergeCell ref="B67:B71"/>
    <mergeCell ref="A72:C72"/>
    <mergeCell ref="A73:C73"/>
    <mergeCell ref="A74:C74"/>
    <mergeCell ref="B61:C61"/>
    <mergeCell ref="A39:H39"/>
    <mergeCell ref="B41:C41"/>
    <mergeCell ref="B42:C42"/>
    <mergeCell ref="A43:H43"/>
    <mergeCell ref="B44:C44"/>
    <mergeCell ref="B15:H15"/>
    <mergeCell ref="A21:A24"/>
    <mergeCell ref="B21:B24"/>
    <mergeCell ref="C21:C24"/>
    <mergeCell ref="D21:G21"/>
    <mergeCell ref="H21:H24"/>
    <mergeCell ref="D22:D24"/>
    <mergeCell ref="E22:E24"/>
    <mergeCell ref="F22:F24"/>
    <mergeCell ref="G22:G24"/>
    <mergeCell ref="A36:H36"/>
    <mergeCell ref="A16:H16"/>
    <mergeCell ref="A94:A98"/>
    <mergeCell ref="B94:B98"/>
    <mergeCell ref="A99:C99"/>
    <mergeCell ref="A59:H59"/>
    <mergeCell ref="B38:C38"/>
    <mergeCell ref="A26:H26"/>
    <mergeCell ref="B28:C28"/>
    <mergeCell ref="A29:H29"/>
    <mergeCell ref="B35:C35"/>
    <mergeCell ref="A45:H45"/>
    <mergeCell ref="B53:C53"/>
    <mergeCell ref="B54:C54"/>
    <mergeCell ref="A55:H55"/>
    <mergeCell ref="B58:C58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9:C109"/>
    <mergeCell ref="A110:C110"/>
  </mergeCells>
  <pageMargins left="0.7" right="0.7" top="0.75" bottom="0.75" header="0.3" footer="0.3"/>
  <pageSetup paperSize="9" scale="53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view="pageBreakPreview" topLeftCell="A10" zoomScale="60" zoomScaleNormal="70" workbookViewId="0">
      <selection activeCell="M62" sqref="L62:M62"/>
    </sheetView>
  </sheetViews>
  <sheetFormatPr defaultRowHeight="12.75" x14ac:dyDescent="0.2"/>
  <cols>
    <col min="1" max="1" width="7.85546875" style="52" customWidth="1"/>
    <col min="2" max="2" width="32.5703125" style="52" customWidth="1"/>
    <col min="3" max="3" width="15.5703125" style="52" hidden="1" customWidth="1"/>
    <col min="4" max="4" width="13.5703125" style="52" customWidth="1"/>
    <col min="5" max="5" width="15.28515625" style="52" customWidth="1"/>
    <col min="6" max="6" width="12.5703125" style="52" customWidth="1"/>
    <col min="7" max="7" width="11.140625" style="52" hidden="1" customWidth="1"/>
    <col min="8" max="8" width="13.140625" style="52" customWidth="1"/>
    <col min="9" max="9" width="16" style="52" hidden="1" customWidth="1"/>
    <col min="10" max="10" width="14.140625" style="52" hidden="1" customWidth="1"/>
    <col min="11" max="11" width="14.85546875" style="52" customWidth="1"/>
    <col min="12" max="13" width="9.140625" style="52"/>
    <col min="14" max="14" width="11" style="52" customWidth="1"/>
    <col min="15" max="22" width="9.140625" style="52"/>
    <col min="23" max="24" width="0" style="52" hidden="1" customWidth="1"/>
    <col min="25" max="257" width="9.140625" style="52"/>
    <col min="258" max="258" width="7.85546875" style="52" customWidth="1"/>
    <col min="259" max="259" width="32.5703125" style="52" customWidth="1"/>
    <col min="260" max="260" width="0" style="52" hidden="1" customWidth="1"/>
    <col min="261" max="261" width="13.5703125" style="52" customWidth="1"/>
    <col min="262" max="262" width="15.28515625" style="52" customWidth="1"/>
    <col min="263" max="263" width="12.5703125" style="52" customWidth="1"/>
    <col min="264" max="264" width="11.140625" style="52" customWidth="1"/>
    <col min="265" max="265" width="0" style="52" hidden="1" customWidth="1"/>
    <col min="266" max="266" width="14.140625" style="52" customWidth="1"/>
    <col min="267" max="267" width="14.85546875" style="52" customWidth="1"/>
    <col min="268" max="269" width="9.140625" style="52"/>
    <col min="270" max="270" width="11" style="52" customWidth="1"/>
    <col min="271" max="278" width="9.140625" style="52"/>
    <col min="279" max="280" width="0" style="52" hidden="1" customWidth="1"/>
    <col min="281" max="513" width="9.140625" style="52"/>
    <col min="514" max="514" width="7.85546875" style="52" customWidth="1"/>
    <col min="515" max="515" width="32.5703125" style="52" customWidth="1"/>
    <col min="516" max="516" width="0" style="52" hidden="1" customWidth="1"/>
    <col min="517" max="517" width="13.5703125" style="52" customWidth="1"/>
    <col min="518" max="518" width="15.28515625" style="52" customWidth="1"/>
    <col min="519" max="519" width="12.5703125" style="52" customWidth="1"/>
    <col min="520" max="520" width="11.140625" style="52" customWidth="1"/>
    <col min="521" max="521" width="0" style="52" hidden="1" customWidth="1"/>
    <col min="522" max="522" width="14.140625" style="52" customWidth="1"/>
    <col min="523" max="523" width="14.85546875" style="52" customWidth="1"/>
    <col min="524" max="525" width="9.140625" style="52"/>
    <col min="526" max="526" width="11" style="52" customWidth="1"/>
    <col min="527" max="534" width="9.140625" style="52"/>
    <col min="535" max="536" width="0" style="52" hidden="1" customWidth="1"/>
    <col min="537" max="769" width="9.140625" style="52"/>
    <col min="770" max="770" width="7.85546875" style="52" customWidth="1"/>
    <col min="771" max="771" width="32.5703125" style="52" customWidth="1"/>
    <col min="772" max="772" width="0" style="52" hidden="1" customWidth="1"/>
    <col min="773" max="773" width="13.5703125" style="52" customWidth="1"/>
    <col min="774" max="774" width="15.28515625" style="52" customWidth="1"/>
    <col min="775" max="775" width="12.5703125" style="52" customWidth="1"/>
    <col min="776" max="776" width="11.140625" style="52" customWidth="1"/>
    <col min="777" max="777" width="0" style="52" hidden="1" customWidth="1"/>
    <col min="778" max="778" width="14.140625" style="52" customWidth="1"/>
    <col min="779" max="779" width="14.85546875" style="52" customWidth="1"/>
    <col min="780" max="781" width="9.140625" style="52"/>
    <col min="782" max="782" width="11" style="52" customWidth="1"/>
    <col min="783" max="790" width="9.140625" style="52"/>
    <col min="791" max="792" width="0" style="52" hidden="1" customWidth="1"/>
    <col min="793" max="1025" width="9.140625" style="52"/>
    <col min="1026" max="1026" width="7.85546875" style="52" customWidth="1"/>
    <col min="1027" max="1027" width="32.5703125" style="52" customWidth="1"/>
    <col min="1028" max="1028" width="0" style="52" hidden="1" customWidth="1"/>
    <col min="1029" max="1029" width="13.5703125" style="52" customWidth="1"/>
    <col min="1030" max="1030" width="15.28515625" style="52" customWidth="1"/>
    <col min="1031" max="1031" width="12.5703125" style="52" customWidth="1"/>
    <col min="1032" max="1032" width="11.140625" style="52" customWidth="1"/>
    <col min="1033" max="1033" width="0" style="52" hidden="1" customWidth="1"/>
    <col min="1034" max="1034" width="14.140625" style="52" customWidth="1"/>
    <col min="1035" max="1035" width="14.85546875" style="52" customWidth="1"/>
    <col min="1036" max="1037" width="9.140625" style="52"/>
    <col min="1038" max="1038" width="11" style="52" customWidth="1"/>
    <col min="1039" max="1046" width="9.140625" style="52"/>
    <col min="1047" max="1048" width="0" style="52" hidden="1" customWidth="1"/>
    <col min="1049" max="1281" width="9.140625" style="52"/>
    <col min="1282" max="1282" width="7.85546875" style="52" customWidth="1"/>
    <col min="1283" max="1283" width="32.5703125" style="52" customWidth="1"/>
    <col min="1284" max="1284" width="0" style="52" hidden="1" customWidth="1"/>
    <col min="1285" max="1285" width="13.5703125" style="52" customWidth="1"/>
    <col min="1286" max="1286" width="15.28515625" style="52" customWidth="1"/>
    <col min="1287" max="1287" width="12.5703125" style="52" customWidth="1"/>
    <col min="1288" max="1288" width="11.140625" style="52" customWidth="1"/>
    <col min="1289" max="1289" width="0" style="52" hidden="1" customWidth="1"/>
    <col min="1290" max="1290" width="14.140625" style="52" customWidth="1"/>
    <col min="1291" max="1291" width="14.85546875" style="52" customWidth="1"/>
    <col min="1292" max="1293" width="9.140625" style="52"/>
    <col min="1294" max="1294" width="11" style="52" customWidth="1"/>
    <col min="1295" max="1302" width="9.140625" style="52"/>
    <col min="1303" max="1304" width="0" style="52" hidden="1" customWidth="1"/>
    <col min="1305" max="1537" width="9.140625" style="52"/>
    <col min="1538" max="1538" width="7.85546875" style="52" customWidth="1"/>
    <col min="1539" max="1539" width="32.5703125" style="52" customWidth="1"/>
    <col min="1540" max="1540" width="0" style="52" hidden="1" customWidth="1"/>
    <col min="1541" max="1541" width="13.5703125" style="52" customWidth="1"/>
    <col min="1542" max="1542" width="15.28515625" style="52" customWidth="1"/>
    <col min="1543" max="1543" width="12.5703125" style="52" customWidth="1"/>
    <col min="1544" max="1544" width="11.140625" style="52" customWidth="1"/>
    <col min="1545" max="1545" width="0" style="52" hidden="1" customWidth="1"/>
    <col min="1546" max="1546" width="14.140625" style="52" customWidth="1"/>
    <col min="1547" max="1547" width="14.85546875" style="52" customWidth="1"/>
    <col min="1548" max="1549" width="9.140625" style="52"/>
    <col min="1550" max="1550" width="11" style="52" customWidth="1"/>
    <col min="1551" max="1558" width="9.140625" style="52"/>
    <col min="1559" max="1560" width="0" style="52" hidden="1" customWidth="1"/>
    <col min="1561" max="1793" width="9.140625" style="52"/>
    <col min="1794" max="1794" width="7.85546875" style="52" customWidth="1"/>
    <col min="1795" max="1795" width="32.5703125" style="52" customWidth="1"/>
    <col min="1796" max="1796" width="0" style="52" hidden="1" customWidth="1"/>
    <col min="1797" max="1797" width="13.5703125" style="52" customWidth="1"/>
    <col min="1798" max="1798" width="15.28515625" style="52" customWidth="1"/>
    <col min="1799" max="1799" width="12.5703125" style="52" customWidth="1"/>
    <col min="1800" max="1800" width="11.140625" style="52" customWidth="1"/>
    <col min="1801" max="1801" width="0" style="52" hidden="1" customWidth="1"/>
    <col min="1802" max="1802" width="14.140625" style="52" customWidth="1"/>
    <col min="1803" max="1803" width="14.85546875" style="52" customWidth="1"/>
    <col min="1804" max="1805" width="9.140625" style="52"/>
    <col min="1806" max="1806" width="11" style="52" customWidth="1"/>
    <col min="1807" max="1814" width="9.140625" style="52"/>
    <col min="1815" max="1816" width="0" style="52" hidden="1" customWidth="1"/>
    <col min="1817" max="2049" width="9.140625" style="52"/>
    <col min="2050" max="2050" width="7.85546875" style="52" customWidth="1"/>
    <col min="2051" max="2051" width="32.5703125" style="52" customWidth="1"/>
    <col min="2052" max="2052" width="0" style="52" hidden="1" customWidth="1"/>
    <col min="2053" max="2053" width="13.5703125" style="52" customWidth="1"/>
    <col min="2054" max="2054" width="15.28515625" style="52" customWidth="1"/>
    <col min="2055" max="2055" width="12.5703125" style="52" customWidth="1"/>
    <col min="2056" max="2056" width="11.140625" style="52" customWidth="1"/>
    <col min="2057" max="2057" width="0" style="52" hidden="1" customWidth="1"/>
    <col min="2058" max="2058" width="14.140625" style="52" customWidth="1"/>
    <col min="2059" max="2059" width="14.85546875" style="52" customWidth="1"/>
    <col min="2060" max="2061" width="9.140625" style="52"/>
    <col min="2062" max="2062" width="11" style="52" customWidth="1"/>
    <col min="2063" max="2070" width="9.140625" style="52"/>
    <col min="2071" max="2072" width="0" style="52" hidden="1" customWidth="1"/>
    <col min="2073" max="2305" width="9.140625" style="52"/>
    <col min="2306" max="2306" width="7.85546875" style="52" customWidth="1"/>
    <col min="2307" max="2307" width="32.5703125" style="52" customWidth="1"/>
    <col min="2308" max="2308" width="0" style="52" hidden="1" customWidth="1"/>
    <col min="2309" max="2309" width="13.5703125" style="52" customWidth="1"/>
    <col min="2310" max="2310" width="15.28515625" style="52" customWidth="1"/>
    <col min="2311" max="2311" width="12.5703125" style="52" customWidth="1"/>
    <col min="2312" max="2312" width="11.140625" style="52" customWidth="1"/>
    <col min="2313" max="2313" width="0" style="52" hidden="1" customWidth="1"/>
    <col min="2314" max="2314" width="14.140625" style="52" customWidth="1"/>
    <col min="2315" max="2315" width="14.85546875" style="52" customWidth="1"/>
    <col min="2316" max="2317" width="9.140625" style="52"/>
    <col min="2318" max="2318" width="11" style="52" customWidth="1"/>
    <col min="2319" max="2326" width="9.140625" style="52"/>
    <col min="2327" max="2328" width="0" style="52" hidden="1" customWidth="1"/>
    <col min="2329" max="2561" width="9.140625" style="52"/>
    <col min="2562" max="2562" width="7.85546875" style="52" customWidth="1"/>
    <col min="2563" max="2563" width="32.5703125" style="52" customWidth="1"/>
    <col min="2564" max="2564" width="0" style="52" hidden="1" customWidth="1"/>
    <col min="2565" max="2565" width="13.5703125" style="52" customWidth="1"/>
    <col min="2566" max="2566" width="15.28515625" style="52" customWidth="1"/>
    <col min="2567" max="2567" width="12.5703125" style="52" customWidth="1"/>
    <col min="2568" max="2568" width="11.140625" style="52" customWidth="1"/>
    <col min="2569" max="2569" width="0" style="52" hidden="1" customWidth="1"/>
    <col min="2570" max="2570" width="14.140625" style="52" customWidth="1"/>
    <col min="2571" max="2571" width="14.85546875" style="52" customWidth="1"/>
    <col min="2572" max="2573" width="9.140625" style="52"/>
    <col min="2574" max="2574" width="11" style="52" customWidth="1"/>
    <col min="2575" max="2582" width="9.140625" style="52"/>
    <col min="2583" max="2584" width="0" style="52" hidden="1" customWidth="1"/>
    <col min="2585" max="2817" width="9.140625" style="52"/>
    <col min="2818" max="2818" width="7.85546875" style="52" customWidth="1"/>
    <col min="2819" max="2819" width="32.5703125" style="52" customWidth="1"/>
    <col min="2820" max="2820" width="0" style="52" hidden="1" customWidth="1"/>
    <col min="2821" max="2821" width="13.5703125" style="52" customWidth="1"/>
    <col min="2822" max="2822" width="15.28515625" style="52" customWidth="1"/>
    <col min="2823" max="2823" width="12.5703125" style="52" customWidth="1"/>
    <col min="2824" max="2824" width="11.140625" style="52" customWidth="1"/>
    <col min="2825" max="2825" width="0" style="52" hidden="1" customWidth="1"/>
    <col min="2826" max="2826" width="14.140625" style="52" customWidth="1"/>
    <col min="2827" max="2827" width="14.85546875" style="52" customWidth="1"/>
    <col min="2828" max="2829" width="9.140625" style="52"/>
    <col min="2830" max="2830" width="11" style="52" customWidth="1"/>
    <col min="2831" max="2838" width="9.140625" style="52"/>
    <col min="2839" max="2840" width="0" style="52" hidden="1" customWidth="1"/>
    <col min="2841" max="3073" width="9.140625" style="52"/>
    <col min="3074" max="3074" width="7.85546875" style="52" customWidth="1"/>
    <col min="3075" max="3075" width="32.5703125" style="52" customWidth="1"/>
    <col min="3076" max="3076" width="0" style="52" hidden="1" customWidth="1"/>
    <col min="3077" max="3077" width="13.5703125" style="52" customWidth="1"/>
    <col min="3078" max="3078" width="15.28515625" style="52" customWidth="1"/>
    <col min="3079" max="3079" width="12.5703125" style="52" customWidth="1"/>
    <col min="3080" max="3080" width="11.140625" style="52" customWidth="1"/>
    <col min="3081" max="3081" width="0" style="52" hidden="1" customWidth="1"/>
    <col min="3082" max="3082" width="14.140625" style="52" customWidth="1"/>
    <col min="3083" max="3083" width="14.85546875" style="52" customWidth="1"/>
    <col min="3084" max="3085" width="9.140625" style="52"/>
    <col min="3086" max="3086" width="11" style="52" customWidth="1"/>
    <col min="3087" max="3094" width="9.140625" style="52"/>
    <col min="3095" max="3096" width="0" style="52" hidden="1" customWidth="1"/>
    <col min="3097" max="3329" width="9.140625" style="52"/>
    <col min="3330" max="3330" width="7.85546875" style="52" customWidth="1"/>
    <col min="3331" max="3331" width="32.5703125" style="52" customWidth="1"/>
    <col min="3332" max="3332" width="0" style="52" hidden="1" customWidth="1"/>
    <col min="3333" max="3333" width="13.5703125" style="52" customWidth="1"/>
    <col min="3334" max="3334" width="15.28515625" style="52" customWidth="1"/>
    <col min="3335" max="3335" width="12.5703125" style="52" customWidth="1"/>
    <col min="3336" max="3336" width="11.140625" style="52" customWidth="1"/>
    <col min="3337" max="3337" width="0" style="52" hidden="1" customWidth="1"/>
    <col min="3338" max="3338" width="14.140625" style="52" customWidth="1"/>
    <col min="3339" max="3339" width="14.85546875" style="52" customWidth="1"/>
    <col min="3340" max="3341" width="9.140625" style="52"/>
    <col min="3342" max="3342" width="11" style="52" customWidth="1"/>
    <col min="3343" max="3350" width="9.140625" style="52"/>
    <col min="3351" max="3352" width="0" style="52" hidden="1" customWidth="1"/>
    <col min="3353" max="3585" width="9.140625" style="52"/>
    <col min="3586" max="3586" width="7.85546875" style="52" customWidth="1"/>
    <col min="3587" max="3587" width="32.5703125" style="52" customWidth="1"/>
    <col min="3588" max="3588" width="0" style="52" hidden="1" customWidth="1"/>
    <col min="3589" max="3589" width="13.5703125" style="52" customWidth="1"/>
    <col min="3590" max="3590" width="15.28515625" style="52" customWidth="1"/>
    <col min="3591" max="3591" width="12.5703125" style="52" customWidth="1"/>
    <col min="3592" max="3592" width="11.140625" style="52" customWidth="1"/>
    <col min="3593" max="3593" width="0" style="52" hidden="1" customWidth="1"/>
    <col min="3594" max="3594" width="14.140625" style="52" customWidth="1"/>
    <col min="3595" max="3595" width="14.85546875" style="52" customWidth="1"/>
    <col min="3596" max="3597" width="9.140625" style="52"/>
    <col min="3598" max="3598" width="11" style="52" customWidth="1"/>
    <col min="3599" max="3606" width="9.140625" style="52"/>
    <col min="3607" max="3608" width="0" style="52" hidden="1" customWidth="1"/>
    <col min="3609" max="3841" width="9.140625" style="52"/>
    <col min="3842" max="3842" width="7.85546875" style="52" customWidth="1"/>
    <col min="3843" max="3843" width="32.5703125" style="52" customWidth="1"/>
    <col min="3844" max="3844" width="0" style="52" hidden="1" customWidth="1"/>
    <col min="3845" max="3845" width="13.5703125" style="52" customWidth="1"/>
    <col min="3846" max="3846" width="15.28515625" style="52" customWidth="1"/>
    <col min="3847" max="3847" width="12.5703125" style="52" customWidth="1"/>
    <col min="3848" max="3848" width="11.140625" style="52" customWidth="1"/>
    <col min="3849" max="3849" width="0" style="52" hidden="1" customWidth="1"/>
    <col min="3850" max="3850" width="14.140625" style="52" customWidth="1"/>
    <col min="3851" max="3851" width="14.85546875" style="52" customWidth="1"/>
    <col min="3852" max="3853" width="9.140625" style="52"/>
    <col min="3854" max="3854" width="11" style="52" customWidth="1"/>
    <col min="3855" max="3862" width="9.140625" style="52"/>
    <col min="3863" max="3864" width="0" style="52" hidden="1" customWidth="1"/>
    <col min="3865" max="4097" width="9.140625" style="52"/>
    <col min="4098" max="4098" width="7.85546875" style="52" customWidth="1"/>
    <col min="4099" max="4099" width="32.5703125" style="52" customWidth="1"/>
    <col min="4100" max="4100" width="0" style="52" hidden="1" customWidth="1"/>
    <col min="4101" max="4101" width="13.5703125" style="52" customWidth="1"/>
    <col min="4102" max="4102" width="15.28515625" style="52" customWidth="1"/>
    <col min="4103" max="4103" width="12.5703125" style="52" customWidth="1"/>
    <col min="4104" max="4104" width="11.140625" style="52" customWidth="1"/>
    <col min="4105" max="4105" width="0" style="52" hidden="1" customWidth="1"/>
    <col min="4106" max="4106" width="14.140625" style="52" customWidth="1"/>
    <col min="4107" max="4107" width="14.85546875" style="52" customWidth="1"/>
    <col min="4108" max="4109" width="9.140625" style="52"/>
    <col min="4110" max="4110" width="11" style="52" customWidth="1"/>
    <col min="4111" max="4118" width="9.140625" style="52"/>
    <col min="4119" max="4120" width="0" style="52" hidden="1" customWidth="1"/>
    <col min="4121" max="4353" width="9.140625" style="52"/>
    <col min="4354" max="4354" width="7.85546875" style="52" customWidth="1"/>
    <col min="4355" max="4355" width="32.5703125" style="52" customWidth="1"/>
    <col min="4356" max="4356" width="0" style="52" hidden="1" customWidth="1"/>
    <col min="4357" max="4357" width="13.5703125" style="52" customWidth="1"/>
    <col min="4358" max="4358" width="15.28515625" style="52" customWidth="1"/>
    <col min="4359" max="4359" width="12.5703125" style="52" customWidth="1"/>
    <col min="4360" max="4360" width="11.140625" style="52" customWidth="1"/>
    <col min="4361" max="4361" width="0" style="52" hidden="1" customWidth="1"/>
    <col min="4362" max="4362" width="14.140625" style="52" customWidth="1"/>
    <col min="4363" max="4363" width="14.85546875" style="52" customWidth="1"/>
    <col min="4364" max="4365" width="9.140625" style="52"/>
    <col min="4366" max="4366" width="11" style="52" customWidth="1"/>
    <col min="4367" max="4374" width="9.140625" style="52"/>
    <col min="4375" max="4376" width="0" style="52" hidden="1" customWidth="1"/>
    <col min="4377" max="4609" width="9.140625" style="52"/>
    <col min="4610" max="4610" width="7.85546875" style="52" customWidth="1"/>
    <col min="4611" max="4611" width="32.5703125" style="52" customWidth="1"/>
    <col min="4612" max="4612" width="0" style="52" hidden="1" customWidth="1"/>
    <col min="4613" max="4613" width="13.5703125" style="52" customWidth="1"/>
    <col min="4614" max="4614" width="15.28515625" style="52" customWidth="1"/>
    <col min="4615" max="4615" width="12.5703125" style="52" customWidth="1"/>
    <col min="4616" max="4616" width="11.140625" style="52" customWidth="1"/>
    <col min="4617" max="4617" width="0" style="52" hidden="1" customWidth="1"/>
    <col min="4618" max="4618" width="14.140625" style="52" customWidth="1"/>
    <col min="4619" max="4619" width="14.85546875" style="52" customWidth="1"/>
    <col min="4620" max="4621" width="9.140625" style="52"/>
    <col min="4622" max="4622" width="11" style="52" customWidth="1"/>
    <col min="4623" max="4630" width="9.140625" style="52"/>
    <col min="4631" max="4632" width="0" style="52" hidden="1" customWidth="1"/>
    <col min="4633" max="4865" width="9.140625" style="52"/>
    <col min="4866" max="4866" width="7.85546875" style="52" customWidth="1"/>
    <col min="4867" max="4867" width="32.5703125" style="52" customWidth="1"/>
    <col min="4868" max="4868" width="0" style="52" hidden="1" customWidth="1"/>
    <col min="4869" max="4869" width="13.5703125" style="52" customWidth="1"/>
    <col min="4870" max="4870" width="15.28515625" style="52" customWidth="1"/>
    <col min="4871" max="4871" width="12.5703125" style="52" customWidth="1"/>
    <col min="4872" max="4872" width="11.140625" style="52" customWidth="1"/>
    <col min="4873" max="4873" width="0" style="52" hidden="1" customWidth="1"/>
    <col min="4874" max="4874" width="14.140625" style="52" customWidth="1"/>
    <col min="4875" max="4875" width="14.85546875" style="52" customWidth="1"/>
    <col min="4876" max="4877" width="9.140625" style="52"/>
    <col min="4878" max="4878" width="11" style="52" customWidth="1"/>
    <col min="4879" max="4886" width="9.140625" style="52"/>
    <col min="4887" max="4888" width="0" style="52" hidden="1" customWidth="1"/>
    <col min="4889" max="5121" width="9.140625" style="52"/>
    <col min="5122" max="5122" width="7.85546875" style="52" customWidth="1"/>
    <col min="5123" max="5123" width="32.5703125" style="52" customWidth="1"/>
    <col min="5124" max="5124" width="0" style="52" hidden="1" customWidth="1"/>
    <col min="5125" max="5125" width="13.5703125" style="52" customWidth="1"/>
    <col min="5126" max="5126" width="15.28515625" style="52" customWidth="1"/>
    <col min="5127" max="5127" width="12.5703125" style="52" customWidth="1"/>
    <col min="5128" max="5128" width="11.140625" style="52" customWidth="1"/>
    <col min="5129" max="5129" width="0" style="52" hidden="1" customWidth="1"/>
    <col min="5130" max="5130" width="14.140625" style="52" customWidth="1"/>
    <col min="5131" max="5131" width="14.85546875" style="52" customWidth="1"/>
    <col min="5132" max="5133" width="9.140625" style="52"/>
    <col min="5134" max="5134" width="11" style="52" customWidth="1"/>
    <col min="5135" max="5142" width="9.140625" style="52"/>
    <col min="5143" max="5144" width="0" style="52" hidden="1" customWidth="1"/>
    <col min="5145" max="5377" width="9.140625" style="52"/>
    <col min="5378" max="5378" width="7.85546875" style="52" customWidth="1"/>
    <col min="5379" max="5379" width="32.5703125" style="52" customWidth="1"/>
    <col min="5380" max="5380" width="0" style="52" hidden="1" customWidth="1"/>
    <col min="5381" max="5381" width="13.5703125" style="52" customWidth="1"/>
    <col min="5382" max="5382" width="15.28515625" style="52" customWidth="1"/>
    <col min="5383" max="5383" width="12.5703125" style="52" customWidth="1"/>
    <col min="5384" max="5384" width="11.140625" style="52" customWidth="1"/>
    <col min="5385" max="5385" width="0" style="52" hidden="1" customWidth="1"/>
    <col min="5386" max="5386" width="14.140625" style="52" customWidth="1"/>
    <col min="5387" max="5387" width="14.85546875" style="52" customWidth="1"/>
    <col min="5388" max="5389" width="9.140625" style="52"/>
    <col min="5390" max="5390" width="11" style="52" customWidth="1"/>
    <col min="5391" max="5398" width="9.140625" style="52"/>
    <col min="5399" max="5400" width="0" style="52" hidden="1" customWidth="1"/>
    <col min="5401" max="5633" width="9.140625" style="52"/>
    <col min="5634" max="5634" width="7.85546875" style="52" customWidth="1"/>
    <col min="5635" max="5635" width="32.5703125" style="52" customWidth="1"/>
    <col min="5636" max="5636" width="0" style="52" hidden="1" customWidth="1"/>
    <col min="5637" max="5637" width="13.5703125" style="52" customWidth="1"/>
    <col min="5638" max="5638" width="15.28515625" style="52" customWidth="1"/>
    <col min="5639" max="5639" width="12.5703125" style="52" customWidth="1"/>
    <col min="5640" max="5640" width="11.140625" style="52" customWidth="1"/>
    <col min="5641" max="5641" width="0" style="52" hidden="1" customWidth="1"/>
    <col min="5642" max="5642" width="14.140625" style="52" customWidth="1"/>
    <col min="5643" max="5643" width="14.85546875" style="52" customWidth="1"/>
    <col min="5644" max="5645" width="9.140625" style="52"/>
    <col min="5646" max="5646" width="11" style="52" customWidth="1"/>
    <col min="5647" max="5654" width="9.140625" style="52"/>
    <col min="5655" max="5656" width="0" style="52" hidden="1" customWidth="1"/>
    <col min="5657" max="5889" width="9.140625" style="52"/>
    <col min="5890" max="5890" width="7.85546875" style="52" customWidth="1"/>
    <col min="5891" max="5891" width="32.5703125" style="52" customWidth="1"/>
    <col min="5892" max="5892" width="0" style="52" hidden="1" customWidth="1"/>
    <col min="5893" max="5893" width="13.5703125" style="52" customWidth="1"/>
    <col min="5894" max="5894" width="15.28515625" style="52" customWidth="1"/>
    <col min="5895" max="5895" width="12.5703125" style="52" customWidth="1"/>
    <col min="5896" max="5896" width="11.140625" style="52" customWidth="1"/>
    <col min="5897" max="5897" width="0" style="52" hidden="1" customWidth="1"/>
    <col min="5898" max="5898" width="14.140625" style="52" customWidth="1"/>
    <col min="5899" max="5899" width="14.85546875" style="52" customWidth="1"/>
    <col min="5900" max="5901" width="9.140625" style="52"/>
    <col min="5902" max="5902" width="11" style="52" customWidth="1"/>
    <col min="5903" max="5910" width="9.140625" style="52"/>
    <col min="5911" max="5912" width="0" style="52" hidden="1" customWidth="1"/>
    <col min="5913" max="6145" width="9.140625" style="52"/>
    <col min="6146" max="6146" width="7.85546875" style="52" customWidth="1"/>
    <col min="6147" max="6147" width="32.5703125" style="52" customWidth="1"/>
    <col min="6148" max="6148" width="0" style="52" hidden="1" customWidth="1"/>
    <col min="6149" max="6149" width="13.5703125" style="52" customWidth="1"/>
    <col min="6150" max="6150" width="15.28515625" style="52" customWidth="1"/>
    <col min="6151" max="6151" width="12.5703125" style="52" customWidth="1"/>
    <col min="6152" max="6152" width="11.140625" style="52" customWidth="1"/>
    <col min="6153" max="6153" width="0" style="52" hidden="1" customWidth="1"/>
    <col min="6154" max="6154" width="14.140625" style="52" customWidth="1"/>
    <col min="6155" max="6155" width="14.85546875" style="52" customWidth="1"/>
    <col min="6156" max="6157" width="9.140625" style="52"/>
    <col min="6158" max="6158" width="11" style="52" customWidth="1"/>
    <col min="6159" max="6166" width="9.140625" style="52"/>
    <col min="6167" max="6168" width="0" style="52" hidden="1" customWidth="1"/>
    <col min="6169" max="6401" width="9.140625" style="52"/>
    <col min="6402" max="6402" width="7.85546875" style="52" customWidth="1"/>
    <col min="6403" max="6403" width="32.5703125" style="52" customWidth="1"/>
    <col min="6404" max="6404" width="0" style="52" hidden="1" customWidth="1"/>
    <col min="6405" max="6405" width="13.5703125" style="52" customWidth="1"/>
    <col min="6406" max="6406" width="15.28515625" style="52" customWidth="1"/>
    <col min="6407" max="6407" width="12.5703125" style="52" customWidth="1"/>
    <col min="6408" max="6408" width="11.140625" style="52" customWidth="1"/>
    <col min="6409" max="6409" width="0" style="52" hidden="1" customWidth="1"/>
    <col min="6410" max="6410" width="14.140625" style="52" customWidth="1"/>
    <col min="6411" max="6411" width="14.85546875" style="52" customWidth="1"/>
    <col min="6412" max="6413" width="9.140625" style="52"/>
    <col min="6414" max="6414" width="11" style="52" customWidth="1"/>
    <col min="6415" max="6422" width="9.140625" style="52"/>
    <col min="6423" max="6424" width="0" style="52" hidden="1" customWidth="1"/>
    <col min="6425" max="6657" width="9.140625" style="52"/>
    <col min="6658" max="6658" width="7.85546875" style="52" customWidth="1"/>
    <col min="6659" max="6659" width="32.5703125" style="52" customWidth="1"/>
    <col min="6660" max="6660" width="0" style="52" hidden="1" customWidth="1"/>
    <col min="6661" max="6661" width="13.5703125" style="52" customWidth="1"/>
    <col min="6662" max="6662" width="15.28515625" style="52" customWidth="1"/>
    <col min="6663" max="6663" width="12.5703125" style="52" customWidth="1"/>
    <col min="6664" max="6664" width="11.140625" style="52" customWidth="1"/>
    <col min="6665" max="6665" width="0" style="52" hidden="1" customWidth="1"/>
    <col min="6666" max="6666" width="14.140625" style="52" customWidth="1"/>
    <col min="6667" max="6667" width="14.85546875" style="52" customWidth="1"/>
    <col min="6668" max="6669" width="9.140625" style="52"/>
    <col min="6670" max="6670" width="11" style="52" customWidth="1"/>
    <col min="6671" max="6678" width="9.140625" style="52"/>
    <col min="6679" max="6680" width="0" style="52" hidden="1" customWidth="1"/>
    <col min="6681" max="6913" width="9.140625" style="52"/>
    <col min="6914" max="6914" width="7.85546875" style="52" customWidth="1"/>
    <col min="6915" max="6915" width="32.5703125" style="52" customWidth="1"/>
    <col min="6916" max="6916" width="0" style="52" hidden="1" customWidth="1"/>
    <col min="6917" max="6917" width="13.5703125" style="52" customWidth="1"/>
    <col min="6918" max="6918" width="15.28515625" style="52" customWidth="1"/>
    <col min="6919" max="6919" width="12.5703125" style="52" customWidth="1"/>
    <col min="6920" max="6920" width="11.140625" style="52" customWidth="1"/>
    <col min="6921" max="6921" width="0" style="52" hidden="1" customWidth="1"/>
    <col min="6922" max="6922" width="14.140625" style="52" customWidth="1"/>
    <col min="6923" max="6923" width="14.85546875" style="52" customWidth="1"/>
    <col min="6924" max="6925" width="9.140625" style="52"/>
    <col min="6926" max="6926" width="11" style="52" customWidth="1"/>
    <col min="6927" max="6934" width="9.140625" style="52"/>
    <col min="6935" max="6936" width="0" style="52" hidden="1" customWidth="1"/>
    <col min="6937" max="7169" width="9.140625" style="52"/>
    <col min="7170" max="7170" width="7.85546875" style="52" customWidth="1"/>
    <col min="7171" max="7171" width="32.5703125" style="52" customWidth="1"/>
    <col min="7172" max="7172" width="0" style="52" hidden="1" customWidth="1"/>
    <col min="7173" max="7173" width="13.5703125" style="52" customWidth="1"/>
    <col min="7174" max="7174" width="15.28515625" style="52" customWidth="1"/>
    <col min="7175" max="7175" width="12.5703125" style="52" customWidth="1"/>
    <col min="7176" max="7176" width="11.140625" style="52" customWidth="1"/>
    <col min="7177" max="7177" width="0" style="52" hidden="1" customWidth="1"/>
    <col min="7178" max="7178" width="14.140625" style="52" customWidth="1"/>
    <col min="7179" max="7179" width="14.85546875" style="52" customWidth="1"/>
    <col min="7180" max="7181" width="9.140625" style="52"/>
    <col min="7182" max="7182" width="11" style="52" customWidth="1"/>
    <col min="7183" max="7190" width="9.140625" style="52"/>
    <col min="7191" max="7192" width="0" style="52" hidden="1" customWidth="1"/>
    <col min="7193" max="7425" width="9.140625" style="52"/>
    <col min="7426" max="7426" width="7.85546875" style="52" customWidth="1"/>
    <col min="7427" max="7427" width="32.5703125" style="52" customWidth="1"/>
    <col min="7428" max="7428" width="0" style="52" hidden="1" customWidth="1"/>
    <col min="7429" max="7429" width="13.5703125" style="52" customWidth="1"/>
    <col min="7430" max="7430" width="15.28515625" style="52" customWidth="1"/>
    <col min="7431" max="7431" width="12.5703125" style="52" customWidth="1"/>
    <col min="7432" max="7432" width="11.140625" style="52" customWidth="1"/>
    <col min="7433" max="7433" width="0" style="52" hidden="1" customWidth="1"/>
    <col min="7434" max="7434" width="14.140625" style="52" customWidth="1"/>
    <col min="7435" max="7435" width="14.85546875" style="52" customWidth="1"/>
    <col min="7436" max="7437" width="9.140625" style="52"/>
    <col min="7438" max="7438" width="11" style="52" customWidth="1"/>
    <col min="7439" max="7446" width="9.140625" style="52"/>
    <col min="7447" max="7448" width="0" style="52" hidden="1" customWidth="1"/>
    <col min="7449" max="7681" width="9.140625" style="52"/>
    <col min="7682" max="7682" width="7.85546875" style="52" customWidth="1"/>
    <col min="7683" max="7683" width="32.5703125" style="52" customWidth="1"/>
    <col min="7684" max="7684" width="0" style="52" hidden="1" customWidth="1"/>
    <col min="7685" max="7685" width="13.5703125" style="52" customWidth="1"/>
    <col min="7686" max="7686" width="15.28515625" style="52" customWidth="1"/>
    <col min="7687" max="7687" width="12.5703125" style="52" customWidth="1"/>
    <col min="7688" max="7688" width="11.140625" style="52" customWidth="1"/>
    <col min="7689" max="7689" width="0" style="52" hidden="1" customWidth="1"/>
    <col min="7690" max="7690" width="14.140625" style="52" customWidth="1"/>
    <col min="7691" max="7691" width="14.85546875" style="52" customWidth="1"/>
    <col min="7692" max="7693" width="9.140625" style="52"/>
    <col min="7694" max="7694" width="11" style="52" customWidth="1"/>
    <col min="7695" max="7702" width="9.140625" style="52"/>
    <col min="7703" max="7704" width="0" style="52" hidden="1" customWidth="1"/>
    <col min="7705" max="7937" width="9.140625" style="52"/>
    <col min="7938" max="7938" width="7.85546875" style="52" customWidth="1"/>
    <col min="7939" max="7939" width="32.5703125" style="52" customWidth="1"/>
    <col min="7940" max="7940" width="0" style="52" hidden="1" customWidth="1"/>
    <col min="7941" max="7941" width="13.5703125" style="52" customWidth="1"/>
    <col min="7942" max="7942" width="15.28515625" style="52" customWidth="1"/>
    <col min="7943" max="7943" width="12.5703125" style="52" customWidth="1"/>
    <col min="7944" max="7944" width="11.140625" style="52" customWidth="1"/>
    <col min="7945" max="7945" width="0" style="52" hidden="1" customWidth="1"/>
    <col min="7946" max="7946" width="14.140625" style="52" customWidth="1"/>
    <col min="7947" max="7947" width="14.85546875" style="52" customWidth="1"/>
    <col min="7948" max="7949" width="9.140625" style="52"/>
    <col min="7950" max="7950" width="11" style="52" customWidth="1"/>
    <col min="7951" max="7958" width="9.140625" style="52"/>
    <col min="7959" max="7960" width="0" style="52" hidden="1" customWidth="1"/>
    <col min="7961" max="8193" width="9.140625" style="52"/>
    <col min="8194" max="8194" width="7.85546875" style="52" customWidth="1"/>
    <col min="8195" max="8195" width="32.5703125" style="52" customWidth="1"/>
    <col min="8196" max="8196" width="0" style="52" hidden="1" customWidth="1"/>
    <col min="8197" max="8197" width="13.5703125" style="52" customWidth="1"/>
    <col min="8198" max="8198" width="15.28515625" style="52" customWidth="1"/>
    <col min="8199" max="8199" width="12.5703125" style="52" customWidth="1"/>
    <col min="8200" max="8200" width="11.140625" style="52" customWidth="1"/>
    <col min="8201" max="8201" width="0" style="52" hidden="1" customWidth="1"/>
    <col min="8202" max="8202" width="14.140625" style="52" customWidth="1"/>
    <col min="8203" max="8203" width="14.85546875" style="52" customWidth="1"/>
    <col min="8204" max="8205" width="9.140625" style="52"/>
    <col min="8206" max="8206" width="11" style="52" customWidth="1"/>
    <col min="8207" max="8214" width="9.140625" style="52"/>
    <col min="8215" max="8216" width="0" style="52" hidden="1" customWidth="1"/>
    <col min="8217" max="8449" width="9.140625" style="52"/>
    <col min="8450" max="8450" width="7.85546875" style="52" customWidth="1"/>
    <col min="8451" max="8451" width="32.5703125" style="52" customWidth="1"/>
    <col min="8452" max="8452" width="0" style="52" hidden="1" customWidth="1"/>
    <col min="8453" max="8453" width="13.5703125" style="52" customWidth="1"/>
    <col min="8454" max="8454" width="15.28515625" style="52" customWidth="1"/>
    <col min="8455" max="8455" width="12.5703125" style="52" customWidth="1"/>
    <col min="8456" max="8456" width="11.140625" style="52" customWidth="1"/>
    <col min="8457" max="8457" width="0" style="52" hidden="1" customWidth="1"/>
    <col min="8458" max="8458" width="14.140625" style="52" customWidth="1"/>
    <col min="8459" max="8459" width="14.85546875" style="52" customWidth="1"/>
    <col min="8460" max="8461" width="9.140625" style="52"/>
    <col min="8462" max="8462" width="11" style="52" customWidth="1"/>
    <col min="8463" max="8470" width="9.140625" style="52"/>
    <col min="8471" max="8472" width="0" style="52" hidden="1" customWidth="1"/>
    <col min="8473" max="8705" width="9.140625" style="52"/>
    <col min="8706" max="8706" width="7.85546875" style="52" customWidth="1"/>
    <col min="8707" max="8707" width="32.5703125" style="52" customWidth="1"/>
    <col min="8708" max="8708" width="0" style="52" hidden="1" customWidth="1"/>
    <col min="8709" max="8709" width="13.5703125" style="52" customWidth="1"/>
    <col min="8710" max="8710" width="15.28515625" style="52" customWidth="1"/>
    <col min="8711" max="8711" width="12.5703125" style="52" customWidth="1"/>
    <col min="8712" max="8712" width="11.140625" style="52" customWidth="1"/>
    <col min="8713" max="8713" width="0" style="52" hidden="1" customWidth="1"/>
    <col min="8714" max="8714" width="14.140625" style="52" customWidth="1"/>
    <col min="8715" max="8715" width="14.85546875" style="52" customWidth="1"/>
    <col min="8716" max="8717" width="9.140625" style="52"/>
    <col min="8718" max="8718" width="11" style="52" customWidth="1"/>
    <col min="8719" max="8726" width="9.140625" style="52"/>
    <col min="8727" max="8728" width="0" style="52" hidden="1" customWidth="1"/>
    <col min="8729" max="8961" width="9.140625" style="52"/>
    <col min="8962" max="8962" width="7.85546875" style="52" customWidth="1"/>
    <col min="8963" max="8963" width="32.5703125" style="52" customWidth="1"/>
    <col min="8964" max="8964" width="0" style="52" hidden="1" customWidth="1"/>
    <col min="8965" max="8965" width="13.5703125" style="52" customWidth="1"/>
    <col min="8966" max="8966" width="15.28515625" style="52" customWidth="1"/>
    <col min="8967" max="8967" width="12.5703125" style="52" customWidth="1"/>
    <col min="8968" max="8968" width="11.140625" style="52" customWidth="1"/>
    <col min="8969" max="8969" width="0" style="52" hidden="1" customWidth="1"/>
    <col min="8970" max="8970" width="14.140625" style="52" customWidth="1"/>
    <col min="8971" max="8971" width="14.85546875" style="52" customWidth="1"/>
    <col min="8972" max="8973" width="9.140625" style="52"/>
    <col min="8974" max="8974" width="11" style="52" customWidth="1"/>
    <col min="8975" max="8982" width="9.140625" style="52"/>
    <col min="8983" max="8984" width="0" style="52" hidden="1" customWidth="1"/>
    <col min="8985" max="9217" width="9.140625" style="52"/>
    <col min="9218" max="9218" width="7.85546875" style="52" customWidth="1"/>
    <col min="9219" max="9219" width="32.5703125" style="52" customWidth="1"/>
    <col min="9220" max="9220" width="0" style="52" hidden="1" customWidth="1"/>
    <col min="9221" max="9221" width="13.5703125" style="52" customWidth="1"/>
    <col min="9222" max="9222" width="15.28515625" style="52" customWidth="1"/>
    <col min="9223" max="9223" width="12.5703125" style="52" customWidth="1"/>
    <col min="9224" max="9224" width="11.140625" style="52" customWidth="1"/>
    <col min="9225" max="9225" width="0" style="52" hidden="1" customWidth="1"/>
    <col min="9226" max="9226" width="14.140625" style="52" customWidth="1"/>
    <col min="9227" max="9227" width="14.85546875" style="52" customWidth="1"/>
    <col min="9228" max="9229" width="9.140625" style="52"/>
    <col min="9230" max="9230" width="11" style="52" customWidth="1"/>
    <col min="9231" max="9238" width="9.140625" style="52"/>
    <col min="9239" max="9240" width="0" style="52" hidden="1" customWidth="1"/>
    <col min="9241" max="9473" width="9.140625" style="52"/>
    <col min="9474" max="9474" width="7.85546875" style="52" customWidth="1"/>
    <col min="9475" max="9475" width="32.5703125" style="52" customWidth="1"/>
    <col min="9476" max="9476" width="0" style="52" hidden="1" customWidth="1"/>
    <col min="9477" max="9477" width="13.5703125" style="52" customWidth="1"/>
    <col min="9478" max="9478" width="15.28515625" style="52" customWidth="1"/>
    <col min="9479" max="9479" width="12.5703125" style="52" customWidth="1"/>
    <col min="9480" max="9480" width="11.140625" style="52" customWidth="1"/>
    <col min="9481" max="9481" width="0" style="52" hidden="1" customWidth="1"/>
    <col min="9482" max="9482" width="14.140625" style="52" customWidth="1"/>
    <col min="9483" max="9483" width="14.85546875" style="52" customWidth="1"/>
    <col min="9484" max="9485" width="9.140625" style="52"/>
    <col min="9486" max="9486" width="11" style="52" customWidth="1"/>
    <col min="9487" max="9494" width="9.140625" style="52"/>
    <col min="9495" max="9496" width="0" style="52" hidden="1" customWidth="1"/>
    <col min="9497" max="9729" width="9.140625" style="52"/>
    <col min="9730" max="9730" width="7.85546875" style="52" customWidth="1"/>
    <col min="9731" max="9731" width="32.5703125" style="52" customWidth="1"/>
    <col min="9732" max="9732" width="0" style="52" hidden="1" customWidth="1"/>
    <col min="9733" max="9733" width="13.5703125" style="52" customWidth="1"/>
    <col min="9734" max="9734" width="15.28515625" style="52" customWidth="1"/>
    <col min="9735" max="9735" width="12.5703125" style="52" customWidth="1"/>
    <col min="9736" max="9736" width="11.140625" style="52" customWidth="1"/>
    <col min="9737" max="9737" width="0" style="52" hidden="1" customWidth="1"/>
    <col min="9738" max="9738" width="14.140625" style="52" customWidth="1"/>
    <col min="9739" max="9739" width="14.85546875" style="52" customWidth="1"/>
    <col min="9740" max="9741" width="9.140625" style="52"/>
    <col min="9742" max="9742" width="11" style="52" customWidth="1"/>
    <col min="9743" max="9750" width="9.140625" style="52"/>
    <col min="9751" max="9752" width="0" style="52" hidden="1" customWidth="1"/>
    <col min="9753" max="9985" width="9.140625" style="52"/>
    <col min="9986" max="9986" width="7.85546875" style="52" customWidth="1"/>
    <col min="9987" max="9987" width="32.5703125" style="52" customWidth="1"/>
    <col min="9988" max="9988" width="0" style="52" hidden="1" customWidth="1"/>
    <col min="9989" max="9989" width="13.5703125" style="52" customWidth="1"/>
    <col min="9990" max="9990" width="15.28515625" style="52" customWidth="1"/>
    <col min="9991" max="9991" width="12.5703125" style="52" customWidth="1"/>
    <col min="9992" max="9992" width="11.140625" style="52" customWidth="1"/>
    <col min="9993" max="9993" width="0" style="52" hidden="1" customWidth="1"/>
    <col min="9994" max="9994" width="14.140625" style="52" customWidth="1"/>
    <col min="9995" max="9995" width="14.85546875" style="52" customWidth="1"/>
    <col min="9996" max="9997" width="9.140625" style="52"/>
    <col min="9998" max="9998" width="11" style="52" customWidth="1"/>
    <col min="9999" max="10006" width="9.140625" style="52"/>
    <col min="10007" max="10008" width="0" style="52" hidden="1" customWidth="1"/>
    <col min="10009" max="10241" width="9.140625" style="52"/>
    <col min="10242" max="10242" width="7.85546875" style="52" customWidth="1"/>
    <col min="10243" max="10243" width="32.5703125" style="52" customWidth="1"/>
    <col min="10244" max="10244" width="0" style="52" hidden="1" customWidth="1"/>
    <col min="10245" max="10245" width="13.5703125" style="52" customWidth="1"/>
    <col min="10246" max="10246" width="15.28515625" style="52" customWidth="1"/>
    <col min="10247" max="10247" width="12.5703125" style="52" customWidth="1"/>
    <col min="10248" max="10248" width="11.140625" style="52" customWidth="1"/>
    <col min="10249" max="10249" width="0" style="52" hidden="1" customWidth="1"/>
    <col min="10250" max="10250" width="14.140625" style="52" customWidth="1"/>
    <col min="10251" max="10251" width="14.85546875" style="52" customWidth="1"/>
    <col min="10252" max="10253" width="9.140625" style="52"/>
    <col min="10254" max="10254" width="11" style="52" customWidth="1"/>
    <col min="10255" max="10262" width="9.140625" style="52"/>
    <col min="10263" max="10264" width="0" style="52" hidden="1" customWidth="1"/>
    <col min="10265" max="10497" width="9.140625" style="52"/>
    <col min="10498" max="10498" width="7.85546875" style="52" customWidth="1"/>
    <col min="10499" max="10499" width="32.5703125" style="52" customWidth="1"/>
    <col min="10500" max="10500" width="0" style="52" hidden="1" customWidth="1"/>
    <col min="10501" max="10501" width="13.5703125" style="52" customWidth="1"/>
    <col min="10502" max="10502" width="15.28515625" style="52" customWidth="1"/>
    <col min="10503" max="10503" width="12.5703125" style="52" customWidth="1"/>
    <col min="10504" max="10504" width="11.140625" style="52" customWidth="1"/>
    <col min="10505" max="10505" width="0" style="52" hidden="1" customWidth="1"/>
    <col min="10506" max="10506" width="14.140625" style="52" customWidth="1"/>
    <col min="10507" max="10507" width="14.85546875" style="52" customWidth="1"/>
    <col min="10508" max="10509" width="9.140625" style="52"/>
    <col min="10510" max="10510" width="11" style="52" customWidth="1"/>
    <col min="10511" max="10518" width="9.140625" style="52"/>
    <col min="10519" max="10520" width="0" style="52" hidden="1" customWidth="1"/>
    <col min="10521" max="10753" width="9.140625" style="52"/>
    <col min="10754" max="10754" width="7.85546875" style="52" customWidth="1"/>
    <col min="10755" max="10755" width="32.5703125" style="52" customWidth="1"/>
    <col min="10756" max="10756" width="0" style="52" hidden="1" customWidth="1"/>
    <col min="10757" max="10757" width="13.5703125" style="52" customWidth="1"/>
    <col min="10758" max="10758" width="15.28515625" style="52" customWidth="1"/>
    <col min="10759" max="10759" width="12.5703125" style="52" customWidth="1"/>
    <col min="10760" max="10760" width="11.140625" style="52" customWidth="1"/>
    <col min="10761" max="10761" width="0" style="52" hidden="1" customWidth="1"/>
    <col min="10762" max="10762" width="14.140625" style="52" customWidth="1"/>
    <col min="10763" max="10763" width="14.85546875" style="52" customWidth="1"/>
    <col min="10764" max="10765" width="9.140625" style="52"/>
    <col min="10766" max="10766" width="11" style="52" customWidth="1"/>
    <col min="10767" max="10774" width="9.140625" style="52"/>
    <col min="10775" max="10776" width="0" style="52" hidden="1" customWidth="1"/>
    <col min="10777" max="11009" width="9.140625" style="52"/>
    <col min="11010" max="11010" width="7.85546875" style="52" customWidth="1"/>
    <col min="11011" max="11011" width="32.5703125" style="52" customWidth="1"/>
    <col min="11012" max="11012" width="0" style="52" hidden="1" customWidth="1"/>
    <col min="11013" max="11013" width="13.5703125" style="52" customWidth="1"/>
    <col min="11014" max="11014" width="15.28515625" style="52" customWidth="1"/>
    <col min="11015" max="11015" width="12.5703125" style="52" customWidth="1"/>
    <col min="11016" max="11016" width="11.140625" style="52" customWidth="1"/>
    <col min="11017" max="11017" width="0" style="52" hidden="1" customWidth="1"/>
    <col min="11018" max="11018" width="14.140625" style="52" customWidth="1"/>
    <col min="11019" max="11019" width="14.85546875" style="52" customWidth="1"/>
    <col min="11020" max="11021" width="9.140625" style="52"/>
    <col min="11022" max="11022" width="11" style="52" customWidth="1"/>
    <col min="11023" max="11030" width="9.140625" style="52"/>
    <col min="11031" max="11032" width="0" style="52" hidden="1" customWidth="1"/>
    <col min="11033" max="11265" width="9.140625" style="52"/>
    <col min="11266" max="11266" width="7.85546875" style="52" customWidth="1"/>
    <col min="11267" max="11267" width="32.5703125" style="52" customWidth="1"/>
    <col min="11268" max="11268" width="0" style="52" hidden="1" customWidth="1"/>
    <col min="11269" max="11269" width="13.5703125" style="52" customWidth="1"/>
    <col min="11270" max="11270" width="15.28515625" style="52" customWidth="1"/>
    <col min="11271" max="11271" width="12.5703125" style="52" customWidth="1"/>
    <col min="11272" max="11272" width="11.140625" style="52" customWidth="1"/>
    <col min="11273" max="11273" width="0" style="52" hidden="1" customWidth="1"/>
    <col min="11274" max="11274" width="14.140625" style="52" customWidth="1"/>
    <col min="11275" max="11275" width="14.85546875" style="52" customWidth="1"/>
    <col min="11276" max="11277" width="9.140625" style="52"/>
    <col min="11278" max="11278" width="11" style="52" customWidth="1"/>
    <col min="11279" max="11286" width="9.140625" style="52"/>
    <col min="11287" max="11288" width="0" style="52" hidden="1" customWidth="1"/>
    <col min="11289" max="11521" width="9.140625" style="52"/>
    <col min="11522" max="11522" width="7.85546875" style="52" customWidth="1"/>
    <col min="11523" max="11523" width="32.5703125" style="52" customWidth="1"/>
    <col min="11524" max="11524" width="0" style="52" hidden="1" customWidth="1"/>
    <col min="11525" max="11525" width="13.5703125" style="52" customWidth="1"/>
    <col min="11526" max="11526" width="15.28515625" style="52" customWidth="1"/>
    <col min="11527" max="11527" width="12.5703125" style="52" customWidth="1"/>
    <col min="11528" max="11528" width="11.140625" style="52" customWidth="1"/>
    <col min="11529" max="11529" width="0" style="52" hidden="1" customWidth="1"/>
    <col min="11530" max="11530" width="14.140625" style="52" customWidth="1"/>
    <col min="11531" max="11531" width="14.85546875" style="52" customWidth="1"/>
    <col min="11532" max="11533" width="9.140625" style="52"/>
    <col min="11534" max="11534" width="11" style="52" customWidth="1"/>
    <col min="11535" max="11542" width="9.140625" style="52"/>
    <col min="11543" max="11544" width="0" style="52" hidden="1" customWidth="1"/>
    <col min="11545" max="11777" width="9.140625" style="52"/>
    <col min="11778" max="11778" width="7.85546875" style="52" customWidth="1"/>
    <col min="11779" max="11779" width="32.5703125" style="52" customWidth="1"/>
    <col min="11780" max="11780" width="0" style="52" hidden="1" customWidth="1"/>
    <col min="11781" max="11781" width="13.5703125" style="52" customWidth="1"/>
    <col min="11782" max="11782" width="15.28515625" style="52" customWidth="1"/>
    <col min="11783" max="11783" width="12.5703125" style="52" customWidth="1"/>
    <col min="11784" max="11784" width="11.140625" style="52" customWidth="1"/>
    <col min="11785" max="11785" width="0" style="52" hidden="1" customWidth="1"/>
    <col min="11786" max="11786" width="14.140625" style="52" customWidth="1"/>
    <col min="11787" max="11787" width="14.85546875" style="52" customWidth="1"/>
    <col min="11788" max="11789" width="9.140625" style="52"/>
    <col min="11790" max="11790" width="11" style="52" customWidth="1"/>
    <col min="11791" max="11798" width="9.140625" style="52"/>
    <col min="11799" max="11800" width="0" style="52" hidden="1" customWidth="1"/>
    <col min="11801" max="12033" width="9.140625" style="52"/>
    <col min="12034" max="12034" width="7.85546875" style="52" customWidth="1"/>
    <col min="12035" max="12035" width="32.5703125" style="52" customWidth="1"/>
    <col min="12036" max="12036" width="0" style="52" hidden="1" customWidth="1"/>
    <col min="12037" max="12037" width="13.5703125" style="52" customWidth="1"/>
    <col min="12038" max="12038" width="15.28515625" style="52" customWidth="1"/>
    <col min="12039" max="12039" width="12.5703125" style="52" customWidth="1"/>
    <col min="12040" max="12040" width="11.140625" style="52" customWidth="1"/>
    <col min="12041" max="12041" width="0" style="52" hidden="1" customWidth="1"/>
    <col min="12042" max="12042" width="14.140625" style="52" customWidth="1"/>
    <col min="12043" max="12043" width="14.85546875" style="52" customWidth="1"/>
    <col min="12044" max="12045" width="9.140625" style="52"/>
    <col min="12046" max="12046" width="11" style="52" customWidth="1"/>
    <col min="12047" max="12054" width="9.140625" style="52"/>
    <col min="12055" max="12056" width="0" style="52" hidden="1" customWidth="1"/>
    <col min="12057" max="12289" width="9.140625" style="52"/>
    <col min="12290" max="12290" width="7.85546875" style="52" customWidth="1"/>
    <col min="12291" max="12291" width="32.5703125" style="52" customWidth="1"/>
    <col min="12292" max="12292" width="0" style="52" hidden="1" customWidth="1"/>
    <col min="12293" max="12293" width="13.5703125" style="52" customWidth="1"/>
    <col min="12294" max="12294" width="15.28515625" style="52" customWidth="1"/>
    <col min="12295" max="12295" width="12.5703125" style="52" customWidth="1"/>
    <col min="12296" max="12296" width="11.140625" style="52" customWidth="1"/>
    <col min="12297" max="12297" width="0" style="52" hidden="1" customWidth="1"/>
    <col min="12298" max="12298" width="14.140625" style="52" customWidth="1"/>
    <col min="12299" max="12299" width="14.85546875" style="52" customWidth="1"/>
    <col min="12300" max="12301" width="9.140625" style="52"/>
    <col min="12302" max="12302" width="11" style="52" customWidth="1"/>
    <col min="12303" max="12310" width="9.140625" style="52"/>
    <col min="12311" max="12312" width="0" style="52" hidden="1" customWidth="1"/>
    <col min="12313" max="12545" width="9.140625" style="52"/>
    <col min="12546" max="12546" width="7.85546875" style="52" customWidth="1"/>
    <col min="12547" max="12547" width="32.5703125" style="52" customWidth="1"/>
    <col min="12548" max="12548" width="0" style="52" hidden="1" customWidth="1"/>
    <col min="12549" max="12549" width="13.5703125" style="52" customWidth="1"/>
    <col min="12550" max="12550" width="15.28515625" style="52" customWidth="1"/>
    <col min="12551" max="12551" width="12.5703125" style="52" customWidth="1"/>
    <col min="12552" max="12552" width="11.140625" style="52" customWidth="1"/>
    <col min="12553" max="12553" width="0" style="52" hidden="1" customWidth="1"/>
    <col min="12554" max="12554" width="14.140625" style="52" customWidth="1"/>
    <col min="12555" max="12555" width="14.85546875" style="52" customWidth="1"/>
    <col min="12556" max="12557" width="9.140625" style="52"/>
    <col min="12558" max="12558" width="11" style="52" customWidth="1"/>
    <col min="12559" max="12566" width="9.140625" style="52"/>
    <col min="12567" max="12568" width="0" style="52" hidden="1" customWidth="1"/>
    <col min="12569" max="12801" width="9.140625" style="52"/>
    <col min="12802" max="12802" width="7.85546875" style="52" customWidth="1"/>
    <col min="12803" max="12803" width="32.5703125" style="52" customWidth="1"/>
    <col min="12804" max="12804" width="0" style="52" hidden="1" customWidth="1"/>
    <col min="12805" max="12805" width="13.5703125" style="52" customWidth="1"/>
    <col min="12806" max="12806" width="15.28515625" style="52" customWidth="1"/>
    <col min="12807" max="12807" width="12.5703125" style="52" customWidth="1"/>
    <col min="12808" max="12808" width="11.140625" style="52" customWidth="1"/>
    <col min="12809" max="12809" width="0" style="52" hidden="1" customWidth="1"/>
    <col min="12810" max="12810" width="14.140625" style="52" customWidth="1"/>
    <col min="12811" max="12811" width="14.85546875" style="52" customWidth="1"/>
    <col min="12812" max="12813" width="9.140625" style="52"/>
    <col min="12814" max="12814" width="11" style="52" customWidth="1"/>
    <col min="12815" max="12822" width="9.140625" style="52"/>
    <col min="12823" max="12824" width="0" style="52" hidden="1" customWidth="1"/>
    <col min="12825" max="13057" width="9.140625" style="52"/>
    <col min="13058" max="13058" width="7.85546875" style="52" customWidth="1"/>
    <col min="13059" max="13059" width="32.5703125" style="52" customWidth="1"/>
    <col min="13060" max="13060" width="0" style="52" hidden="1" customWidth="1"/>
    <col min="13061" max="13061" width="13.5703125" style="52" customWidth="1"/>
    <col min="13062" max="13062" width="15.28515625" style="52" customWidth="1"/>
    <col min="13063" max="13063" width="12.5703125" style="52" customWidth="1"/>
    <col min="13064" max="13064" width="11.140625" style="52" customWidth="1"/>
    <col min="13065" max="13065" width="0" style="52" hidden="1" customWidth="1"/>
    <col min="13066" max="13066" width="14.140625" style="52" customWidth="1"/>
    <col min="13067" max="13067" width="14.85546875" style="52" customWidth="1"/>
    <col min="13068" max="13069" width="9.140625" style="52"/>
    <col min="13070" max="13070" width="11" style="52" customWidth="1"/>
    <col min="13071" max="13078" width="9.140625" style="52"/>
    <col min="13079" max="13080" width="0" style="52" hidden="1" customWidth="1"/>
    <col min="13081" max="13313" width="9.140625" style="52"/>
    <col min="13314" max="13314" width="7.85546875" style="52" customWidth="1"/>
    <col min="13315" max="13315" width="32.5703125" style="52" customWidth="1"/>
    <col min="13316" max="13316" width="0" style="52" hidden="1" customWidth="1"/>
    <col min="13317" max="13317" width="13.5703125" style="52" customWidth="1"/>
    <col min="13318" max="13318" width="15.28515625" style="52" customWidth="1"/>
    <col min="13319" max="13319" width="12.5703125" style="52" customWidth="1"/>
    <col min="13320" max="13320" width="11.140625" style="52" customWidth="1"/>
    <col min="13321" max="13321" width="0" style="52" hidden="1" customWidth="1"/>
    <col min="13322" max="13322" width="14.140625" style="52" customWidth="1"/>
    <col min="13323" max="13323" width="14.85546875" style="52" customWidth="1"/>
    <col min="13324" max="13325" width="9.140625" style="52"/>
    <col min="13326" max="13326" width="11" style="52" customWidth="1"/>
    <col min="13327" max="13334" width="9.140625" style="52"/>
    <col min="13335" max="13336" width="0" style="52" hidden="1" customWidth="1"/>
    <col min="13337" max="13569" width="9.140625" style="52"/>
    <col min="13570" max="13570" width="7.85546875" style="52" customWidth="1"/>
    <col min="13571" max="13571" width="32.5703125" style="52" customWidth="1"/>
    <col min="13572" max="13572" width="0" style="52" hidden="1" customWidth="1"/>
    <col min="13573" max="13573" width="13.5703125" style="52" customWidth="1"/>
    <col min="13574" max="13574" width="15.28515625" style="52" customWidth="1"/>
    <col min="13575" max="13575" width="12.5703125" style="52" customWidth="1"/>
    <col min="13576" max="13576" width="11.140625" style="52" customWidth="1"/>
    <col min="13577" max="13577" width="0" style="52" hidden="1" customWidth="1"/>
    <col min="13578" max="13578" width="14.140625" style="52" customWidth="1"/>
    <col min="13579" max="13579" width="14.85546875" style="52" customWidth="1"/>
    <col min="13580" max="13581" width="9.140625" style="52"/>
    <col min="13582" max="13582" width="11" style="52" customWidth="1"/>
    <col min="13583" max="13590" width="9.140625" style="52"/>
    <col min="13591" max="13592" width="0" style="52" hidden="1" customWidth="1"/>
    <col min="13593" max="13825" width="9.140625" style="52"/>
    <col min="13826" max="13826" width="7.85546875" style="52" customWidth="1"/>
    <col min="13827" max="13827" width="32.5703125" style="52" customWidth="1"/>
    <col min="13828" max="13828" width="0" style="52" hidden="1" customWidth="1"/>
    <col min="13829" max="13829" width="13.5703125" style="52" customWidth="1"/>
    <col min="13830" max="13830" width="15.28515625" style="52" customWidth="1"/>
    <col min="13831" max="13831" width="12.5703125" style="52" customWidth="1"/>
    <col min="13832" max="13832" width="11.140625" style="52" customWidth="1"/>
    <col min="13833" max="13833" width="0" style="52" hidden="1" customWidth="1"/>
    <col min="13834" max="13834" width="14.140625" style="52" customWidth="1"/>
    <col min="13835" max="13835" width="14.85546875" style="52" customWidth="1"/>
    <col min="13836" max="13837" width="9.140625" style="52"/>
    <col min="13838" max="13838" width="11" style="52" customWidth="1"/>
    <col min="13839" max="13846" width="9.140625" style="52"/>
    <col min="13847" max="13848" width="0" style="52" hidden="1" customWidth="1"/>
    <col min="13849" max="14081" width="9.140625" style="52"/>
    <col min="14082" max="14082" width="7.85546875" style="52" customWidth="1"/>
    <col min="14083" max="14083" width="32.5703125" style="52" customWidth="1"/>
    <col min="14084" max="14084" width="0" style="52" hidden="1" customWidth="1"/>
    <col min="14085" max="14085" width="13.5703125" style="52" customWidth="1"/>
    <col min="14086" max="14086" width="15.28515625" style="52" customWidth="1"/>
    <col min="14087" max="14087" width="12.5703125" style="52" customWidth="1"/>
    <col min="14088" max="14088" width="11.140625" style="52" customWidth="1"/>
    <col min="14089" max="14089" width="0" style="52" hidden="1" customWidth="1"/>
    <col min="14090" max="14090" width="14.140625" style="52" customWidth="1"/>
    <col min="14091" max="14091" width="14.85546875" style="52" customWidth="1"/>
    <col min="14092" max="14093" width="9.140625" style="52"/>
    <col min="14094" max="14094" width="11" style="52" customWidth="1"/>
    <col min="14095" max="14102" width="9.140625" style="52"/>
    <col min="14103" max="14104" width="0" style="52" hidden="1" customWidth="1"/>
    <col min="14105" max="14337" width="9.140625" style="52"/>
    <col min="14338" max="14338" width="7.85546875" style="52" customWidth="1"/>
    <col min="14339" max="14339" width="32.5703125" style="52" customWidth="1"/>
    <col min="14340" max="14340" width="0" style="52" hidden="1" customWidth="1"/>
    <col min="14341" max="14341" width="13.5703125" style="52" customWidth="1"/>
    <col min="14342" max="14342" width="15.28515625" style="52" customWidth="1"/>
    <col min="14343" max="14343" width="12.5703125" style="52" customWidth="1"/>
    <col min="14344" max="14344" width="11.140625" style="52" customWidth="1"/>
    <col min="14345" max="14345" width="0" style="52" hidden="1" customWidth="1"/>
    <col min="14346" max="14346" width="14.140625" style="52" customWidth="1"/>
    <col min="14347" max="14347" width="14.85546875" style="52" customWidth="1"/>
    <col min="14348" max="14349" width="9.140625" style="52"/>
    <col min="14350" max="14350" width="11" style="52" customWidth="1"/>
    <col min="14351" max="14358" width="9.140625" style="52"/>
    <col min="14359" max="14360" width="0" style="52" hidden="1" customWidth="1"/>
    <col min="14361" max="14593" width="9.140625" style="52"/>
    <col min="14594" max="14594" width="7.85546875" style="52" customWidth="1"/>
    <col min="14595" max="14595" width="32.5703125" style="52" customWidth="1"/>
    <col min="14596" max="14596" width="0" style="52" hidden="1" customWidth="1"/>
    <col min="14597" max="14597" width="13.5703125" style="52" customWidth="1"/>
    <col min="14598" max="14598" width="15.28515625" style="52" customWidth="1"/>
    <col min="14599" max="14599" width="12.5703125" style="52" customWidth="1"/>
    <col min="14600" max="14600" width="11.140625" style="52" customWidth="1"/>
    <col min="14601" max="14601" width="0" style="52" hidden="1" customWidth="1"/>
    <col min="14602" max="14602" width="14.140625" style="52" customWidth="1"/>
    <col min="14603" max="14603" width="14.85546875" style="52" customWidth="1"/>
    <col min="14604" max="14605" width="9.140625" style="52"/>
    <col min="14606" max="14606" width="11" style="52" customWidth="1"/>
    <col min="14607" max="14614" width="9.140625" style="52"/>
    <col min="14615" max="14616" width="0" style="52" hidden="1" customWidth="1"/>
    <col min="14617" max="14849" width="9.140625" style="52"/>
    <col min="14850" max="14850" width="7.85546875" style="52" customWidth="1"/>
    <col min="14851" max="14851" width="32.5703125" style="52" customWidth="1"/>
    <col min="14852" max="14852" width="0" style="52" hidden="1" customWidth="1"/>
    <col min="14853" max="14853" width="13.5703125" style="52" customWidth="1"/>
    <col min="14854" max="14854" width="15.28515625" style="52" customWidth="1"/>
    <col min="14855" max="14855" width="12.5703125" style="52" customWidth="1"/>
    <col min="14856" max="14856" width="11.140625" style="52" customWidth="1"/>
    <col min="14857" max="14857" width="0" style="52" hidden="1" customWidth="1"/>
    <col min="14858" max="14858" width="14.140625" style="52" customWidth="1"/>
    <col min="14859" max="14859" width="14.85546875" style="52" customWidth="1"/>
    <col min="14860" max="14861" width="9.140625" style="52"/>
    <col min="14862" max="14862" width="11" style="52" customWidth="1"/>
    <col min="14863" max="14870" width="9.140625" style="52"/>
    <col min="14871" max="14872" width="0" style="52" hidden="1" customWidth="1"/>
    <col min="14873" max="15105" width="9.140625" style="52"/>
    <col min="15106" max="15106" width="7.85546875" style="52" customWidth="1"/>
    <col min="15107" max="15107" width="32.5703125" style="52" customWidth="1"/>
    <col min="15108" max="15108" width="0" style="52" hidden="1" customWidth="1"/>
    <col min="15109" max="15109" width="13.5703125" style="52" customWidth="1"/>
    <col min="15110" max="15110" width="15.28515625" style="52" customWidth="1"/>
    <col min="15111" max="15111" width="12.5703125" style="52" customWidth="1"/>
    <col min="15112" max="15112" width="11.140625" style="52" customWidth="1"/>
    <col min="15113" max="15113" width="0" style="52" hidden="1" customWidth="1"/>
    <col min="15114" max="15114" width="14.140625" style="52" customWidth="1"/>
    <col min="15115" max="15115" width="14.85546875" style="52" customWidth="1"/>
    <col min="15116" max="15117" width="9.140625" style="52"/>
    <col min="15118" max="15118" width="11" style="52" customWidth="1"/>
    <col min="15119" max="15126" width="9.140625" style="52"/>
    <col min="15127" max="15128" width="0" style="52" hidden="1" customWidth="1"/>
    <col min="15129" max="15361" width="9.140625" style="52"/>
    <col min="15362" max="15362" width="7.85546875" style="52" customWidth="1"/>
    <col min="15363" max="15363" width="32.5703125" style="52" customWidth="1"/>
    <col min="15364" max="15364" width="0" style="52" hidden="1" customWidth="1"/>
    <col min="15365" max="15365" width="13.5703125" style="52" customWidth="1"/>
    <col min="15366" max="15366" width="15.28515625" style="52" customWidth="1"/>
    <col min="15367" max="15367" width="12.5703125" style="52" customWidth="1"/>
    <col min="15368" max="15368" width="11.140625" style="52" customWidth="1"/>
    <col min="15369" max="15369" width="0" style="52" hidden="1" customWidth="1"/>
    <col min="15370" max="15370" width="14.140625" style="52" customWidth="1"/>
    <col min="15371" max="15371" width="14.85546875" style="52" customWidth="1"/>
    <col min="15372" max="15373" width="9.140625" style="52"/>
    <col min="15374" max="15374" width="11" style="52" customWidth="1"/>
    <col min="15375" max="15382" width="9.140625" style="52"/>
    <col min="15383" max="15384" width="0" style="52" hidden="1" customWidth="1"/>
    <col min="15385" max="15617" width="9.140625" style="52"/>
    <col min="15618" max="15618" width="7.85546875" style="52" customWidth="1"/>
    <col min="15619" max="15619" width="32.5703125" style="52" customWidth="1"/>
    <col min="15620" max="15620" width="0" style="52" hidden="1" customWidth="1"/>
    <col min="15621" max="15621" width="13.5703125" style="52" customWidth="1"/>
    <col min="15622" max="15622" width="15.28515625" style="52" customWidth="1"/>
    <col min="15623" max="15623" width="12.5703125" style="52" customWidth="1"/>
    <col min="15624" max="15624" width="11.140625" style="52" customWidth="1"/>
    <col min="15625" max="15625" width="0" style="52" hidden="1" customWidth="1"/>
    <col min="15626" max="15626" width="14.140625" style="52" customWidth="1"/>
    <col min="15627" max="15627" width="14.85546875" style="52" customWidth="1"/>
    <col min="15628" max="15629" width="9.140625" style="52"/>
    <col min="15630" max="15630" width="11" style="52" customWidth="1"/>
    <col min="15631" max="15638" width="9.140625" style="52"/>
    <col min="15639" max="15640" width="0" style="52" hidden="1" customWidth="1"/>
    <col min="15641" max="15873" width="9.140625" style="52"/>
    <col min="15874" max="15874" width="7.85546875" style="52" customWidth="1"/>
    <col min="15875" max="15875" width="32.5703125" style="52" customWidth="1"/>
    <col min="15876" max="15876" width="0" style="52" hidden="1" customWidth="1"/>
    <col min="15877" max="15877" width="13.5703125" style="52" customWidth="1"/>
    <col min="15878" max="15878" width="15.28515625" style="52" customWidth="1"/>
    <col min="15879" max="15879" width="12.5703125" style="52" customWidth="1"/>
    <col min="15880" max="15880" width="11.140625" style="52" customWidth="1"/>
    <col min="15881" max="15881" width="0" style="52" hidden="1" customWidth="1"/>
    <col min="15882" max="15882" width="14.140625" style="52" customWidth="1"/>
    <col min="15883" max="15883" width="14.85546875" style="52" customWidth="1"/>
    <col min="15884" max="15885" width="9.140625" style="52"/>
    <col min="15886" max="15886" width="11" style="52" customWidth="1"/>
    <col min="15887" max="15894" width="9.140625" style="52"/>
    <col min="15895" max="15896" width="0" style="52" hidden="1" customWidth="1"/>
    <col min="15897" max="16129" width="9.140625" style="52"/>
    <col min="16130" max="16130" width="7.85546875" style="52" customWidth="1"/>
    <col min="16131" max="16131" width="32.5703125" style="52" customWidth="1"/>
    <col min="16132" max="16132" width="0" style="52" hidden="1" customWidth="1"/>
    <col min="16133" max="16133" width="13.5703125" style="52" customWidth="1"/>
    <col min="16134" max="16134" width="15.28515625" style="52" customWidth="1"/>
    <col min="16135" max="16135" width="12.5703125" style="52" customWidth="1"/>
    <col min="16136" max="16136" width="11.140625" style="52" customWidth="1"/>
    <col min="16137" max="16137" width="0" style="52" hidden="1" customWidth="1"/>
    <col min="16138" max="16138" width="14.140625" style="52" customWidth="1"/>
    <col min="16139" max="16139" width="14.85546875" style="52" customWidth="1"/>
    <col min="16140" max="16141" width="9.140625" style="52"/>
    <col min="16142" max="16142" width="11" style="52" customWidth="1"/>
    <col min="16143" max="16150" width="9.140625" style="52"/>
    <col min="16151" max="16152" width="0" style="52" hidden="1" customWidth="1"/>
    <col min="16153" max="16384" width="9.140625" style="52"/>
  </cols>
  <sheetData>
    <row r="1" spans="1:11" ht="15.75" hidden="1" x14ac:dyDescent="0.2">
      <c r="I1" s="99"/>
      <c r="J1" s="99"/>
      <c r="K1" s="99"/>
    </row>
    <row r="2" spans="1:11" hidden="1" x14ac:dyDescent="0.2">
      <c r="I2" s="95"/>
      <c r="J2" s="95"/>
      <c r="K2" s="95"/>
    </row>
    <row r="3" spans="1:11" hidden="1" x14ac:dyDescent="0.2">
      <c r="I3" s="100"/>
      <c r="J3" s="100"/>
      <c r="K3" s="100"/>
    </row>
    <row r="4" spans="1:11" hidden="1" x14ac:dyDescent="0.2">
      <c r="I4" s="100"/>
      <c r="J4" s="100"/>
      <c r="K4" s="100"/>
    </row>
    <row r="5" spans="1:11" hidden="1" x14ac:dyDescent="0.2">
      <c r="I5" s="100"/>
      <c r="J5" s="100"/>
      <c r="K5" s="100"/>
    </row>
    <row r="6" spans="1:11" hidden="1" x14ac:dyDescent="0.2">
      <c r="I6" s="100"/>
      <c r="J6" s="100"/>
      <c r="K6" s="100"/>
    </row>
    <row r="7" spans="1:11" hidden="1" x14ac:dyDescent="0.2">
      <c r="I7" s="100"/>
      <c r="J7" s="100"/>
      <c r="K7" s="100"/>
    </row>
    <row r="8" spans="1:11" ht="15.75" hidden="1" x14ac:dyDescent="0.25">
      <c r="I8" s="101"/>
      <c r="J8" s="101"/>
      <c r="K8" s="102"/>
    </row>
    <row r="9" spans="1:11" ht="15.75" hidden="1" x14ac:dyDescent="0.25">
      <c r="I9" s="101"/>
      <c r="J9" s="101"/>
      <c r="K9" s="102"/>
    </row>
    <row r="10" spans="1:11" ht="18.75" x14ac:dyDescent="0.25">
      <c r="I10" s="103"/>
      <c r="J10" s="103"/>
      <c r="K10" s="102"/>
    </row>
    <row r="13" spans="1:11" ht="15.75" x14ac:dyDescent="0.25">
      <c r="A13" s="181" t="s">
        <v>166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</row>
    <row r="14" spans="1:11" ht="40.5" customHeight="1" x14ac:dyDescent="0.2">
      <c r="A14" s="182" t="s">
        <v>16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</row>
    <row r="15" spans="1:11" ht="14.25" x14ac:dyDescent="0.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1" ht="15" hidden="1" x14ac:dyDescent="0.25">
      <c r="A16" s="183" t="s">
        <v>150</v>
      </c>
      <c r="B16" s="183"/>
      <c r="C16" s="183"/>
      <c r="D16" s="183"/>
      <c r="E16" s="183"/>
      <c r="F16" s="183"/>
      <c r="G16" s="183"/>
      <c r="H16" s="183"/>
      <c r="I16" s="96"/>
      <c r="J16" s="96"/>
      <c r="K16" s="96"/>
    </row>
    <row r="17" spans="1:26" ht="15" hidden="1" x14ac:dyDescent="0.2">
      <c r="A17" s="184" t="s">
        <v>151</v>
      </c>
      <c r="B17" s="184"/>
      <c r="C17" s="184"/>
      <c r="D17" s="184"/>
      <c r="E17" s="184"/>
      <c r="F17" s="184"/>
      <c r="G17" s="184"/>
      <c r="H17" s="96"/>
      <c r="I17" s="96"/>
      <c r="J17" s="96"/>
      <c r="K17" s="96"/>
    </row>
    <row r="18" spans="1:26" ht="15" hidden="1" x14ac:dyDescent="0.25">
      <c r="A18" s="180" t="s">
        <v>162</v>
      </c>
      <c r="B18" s="180"/>
      <c r="C18" s="180"/>
      <c r="D18" s="180"/>
      <c r="E18" s="180"/>
      <c r="F18" s="180"/>
      <c r="G18" s="180"/>
      <c r="H18" s="180"/>
      <c r="I18" s="96"/>
      <c r="J18" s="96"/>
      <c r="K18" s="96"/>
    </row>
    <row r="19" spans="1:26" ht="15" hidden="1" x14ac:dyDescent="0.25">
      <c r="A19" s="180" t="s">
        <v>152</v>
      </c>
      <c r="B19" s="180"/>
      <c r="C19" s="180"/>
      <c r="D19" s="180"/>
      <c r="E19" s="180"/>
      <c r="F19" s="180"/>
      <c r="G19" s="180"/>
      <c r="H19" s="180"/>
      <c r="I19" s="180"/>
      <c r="J19" s="180"/>
      <c r="K19" s="96"/>
    </row>
    <row r="20" spans="1:26" ht="13.5" thickBot="1" x14ac:dyDescent="0.25">
      <c r="A20" s="52" t="s">
        <v>153</v>
      </c>
      <c r="B20" s="53"/>
      <c r="C20" s="53"/>
      <c r="D20" s="53"/>
      <c r="E20" s="53"/>
      <c r="F20" s="53"/>
      <c r="G20" s="54"/>
      <c r="H20" s="54"/>
      <c r="I20" s="54"/>
      <c r="J20" s="54"/>
      <c r="K20" s="54"/>
    </row>
    <row r="21" spans="1:26" x14ac:dyDescent="0.2">
      <c r="A21" s="167" t="s">
        <v>113</v>
      </c>
      <c r="B21" s="165" t="s">
        <v>143</v>
      </c>
      <c r="C21" s="110"/>
      <c r="D21" s="169" t="s">
        <v>115</v>
      </c>
      <c r="E21" s="169" t="s">
        <v>116</v>
      </c>
      <c r="F21" s="171" t="s">
        <v>147</v>
      </c>
      <c r="G21" s="172"/>
      <c r="H21" s="172"/>
      <c r="I21" s="172"/>
      <c r="J21" s="172"/>
      <c r="K21" s="173"/>
    </row>
    <row r="22" spans="1:26" ht="76.5" x14ac:dyDescent="0.25">
      <c r="A22" s="168"/>
      <c r="B22" s="166"/>
      <c r="C22" s="94" t="s">
        <v>114</v>
      </c>
      <c r="D22" s="170"/>
      <c r="E22" s="170"/>
      <c r="F22" s="98" t="s">
        <v>109</v>
      </c>
      <c r="G22" s="94" t="s">
        <v>144</v>
      </c>
      <c r="H22" s="84" t="s">
        <v>145</v>
      </c>
      <c r="I22" s="85" t="s">
        <v>146</v>
      </c>
      <c r="J22" s="85" t="s">
        <v>161</v>
      </c>
      <c r="K22" s="83" t="s">
        <v>117</v>
      </c>
      <c r="N22" s="164" t="s">
        <v>118</v>
      </c>
      <c r="O22" s="164" t="s">
        <v>119</v>
      </c>
      <c r="P22" s="164" t="s">
        <v>120</v>
      </c>
      <c r="Q22" s="164" t="s">
        <v>121</v>
      </c>
      <c r="R22" s="164" t="s">
        <v>122</v>
      </c>
      <c r="S22" s="177" t="s">
        <v>123</v>
      </c>
      <c r="T22" s="177" t="s">
        <v>124</v>
      </c>
      <c r="U22" s="177" t="s">
        <v>125</v>
      </c>
      <c r="V22" s="177" t="s">
        <v>126</v>
      </c>
      <c r="W22" s="55"/>
      <c r="X22" s="174"/>
      <c r="Y22" s="177" t="s">
        <v>127</v>
      </c>
      <c r="Z22" s="177" t="s">
        <v>128</v>
      </c>
    </row>
    <row r="23" spans="1:26" ht="15" x14ac:dyDescent="0.25">
      <c r="A23" s="111">
        <v>1</v>
      </c>
      <c r="B23" s="97">
        <f>A23+1</f>
        <v>2</v>
      </c>
      <c r="C23" s="97">
        <f t="shared" ref="C23:K23" si="0">B23+1</f>
        <v>3</v>
      </c>
      <c r="D23" s="97">
        <f t="shared" si="0"/>
        <v>4</v>
      </c>
      <c r="E23" s="97">
        <f t="shared" si="0"/>
        <v>5</v>
      </c>
      <c r="F23" s="97">
        <f t="shared" si="0"/>
        <v>6</v>
      </c>
      <c r="G23" s="97">
        <f t="shared" si="0"/>
        <v>7</v>
      </c>
      <c r="H23" s="97">
        <f t="shared" si="0"/>
        <v>8</v>
      </c>
      <c r="I23" s="97">
        <f t="shared" si="0"/>
        <v>9</v>
      </c>
      <c r="J23" s="97">
        <f t="shared" si="0"/>
        <v>10</v>
      </c>
      <c r="K23" s="112">
        <f t="shared" si="0"/>
        <v>11</v>
      </c>
      <c r="N23" s="164"/>
      <c r="O23" s="164"/>
      <c r="P23" s="164"/>
      <c r="Q23" s="164"/>
      <c r="R23" s="164"/>
      <c r="S23" s="178"/>
      <c r="T23" s="178"/>
      <c r="U23" s="178"/>
      <c r="V23" s="178"/>
      <c r="W23" s="55"/>
      <c r="X23" s="175"/>
      <c r="Y23" s="178"/>
      <c r="Z23" s="178"/>
    </row>
    <row r="24" spans="1:26" ht="25.5" x14ac:dyDescent="0.25">
      <c r="A24" s="56">
        <f>A23+1</f>
        <v>2</v>
      </c>
      <c r="B24" s="57" t="s">
        <v>148</v>
      </c>
      <c r="C24" s="58"/>
      <c r="D24" s="59">
        <f>(ССР!D66+ССР!E66)*1000</f>
        <v>3393241.4899599999</v>
      </c>
      <c r="E24" s="59">
        <f>ССР!F66*1000</f>
        <v>8168875.2949999999</v>
      </c>
      <c r="F24" s="59">
        <f>ССР!G49*1.015*1000</f>
        <v>285253.56999999995</v>
      </c>
      <c r="G24" s="59">
        <v>0</v>
      </c>
      <c r="H24" s="59">
        <f>(ССР!G48+ССР!G50+ССР!G51+ССР!G52)*1.015*1000</f>
        <v>121494.48499999999</v>
      </c>
      <c r="I24" s="60"/>
      <c r="J24" s="60"/>
      <c r="K24" s="125">
        <f>D24+E24+F24+G24+H24+I24</f>
        <v>11968864.83996</v>
      </c>
      <c r="N24" s="164"/>
      <c r="O24" s="164"/>
      <c r="P24" s="164"/>
      <c r="Q24" s="164"/>
      <c r="R24" s="164"/>
      <c r="S24" s="178"/>
      <c r="T24" s="178"/>
      <c r="U24" s="178"/>
      <c r="V24" s="178"/>
      <c r="W24" s="55"/>
      <c r="X24" s="175"/>
      <c r="Y24" s="178"/>
      <c r="Z24" s="178"/>
    </row>
    <row r="25" spans="1:26" ht="51" x14ac:dyDescent="0.25">
      <c r="A25" s="56">
        <f t="shared" ref="A25:A31" si="1">A24+1</f>
        <v>3</v>
      </c>
      <c r="B25" s="57" t="s">
        <v>129</v>
      </c>
      <c r="C25" s="58"/>
      <c r="D25" s="61">
        <v>7.1</v>
      </c>
      <c r="E25" s="61">
        <v>3.82</v>
      </c>
      <c r="F25" s="61">
        <v>15.97</v>
      </c>
      <c r="G25" s="61">
        <v>3.53</v>
      </c>
      <c r="H25" s="61">
        <v>7.53</v>
      </c>
      <c r="I25" s="62"/>
      <c r="J25" s="62"/>
      <c r="K25" s="63"/>
      <c r="N25" s="164"/>
      <c r="O25" s="164"/>
      <c r="P25" s="164"/>
      <c r="Q25" s="164"/>
      <c r="R25" s="164"/>
      <c r="S25" s="178"/>
      <c r="T25" s="178"/>
      <c r="U25" s="178"/>
      <c r="V25" s="178"/>
      <c r="W25" s="55"/>
      <c r="X25" s="175"/>
      <c r="Y25" s="178"/>
      <c r="Z25" s="178"/>
    </row>
    <row r="26" spans="1:26" ht="25.5" x14ac:dyDescent="0.25">
      <c r="A26" s="56">
        <f t="shared" si="1"/>
        <v>4</v>
      </c>
      <c r="B26" s="57" t="s">
        <v>130</v>
      </c>
      <c r="C26" s="58"/>
      <c r="D26" s="59">
        <f>D24*D25</f>
        <v>24092014.578715999</v>
      </c>
      <c r="E26" s="59">
        <f t="shared" ref="E26:H26" si="2">E24*E25</f>
        <v>31205103.626899999</v>
      </c>
      <c r="F26" s="59">
        <f t="shared" si="2"/>
        <v>4555499.5128999995</v>
      </c>
      <c r="G26" s="59">
        <f t="shared" si="2"/>
        <v>0</v>
      </c>
      <c r="H26" s="59">
        <f t="shared" si="2"/>
        <v>914853.47204999998</v>
      </c>
      <c r="I26" s="59"/>
      <c r="J26" s="59"/>
      <c r="K26" s="125">
        <f>D26+E26+F26+G26+H26+I26</f>
        <v>60767471.190566003</v>
      </c>
      <c r="N26" s="164"/>
      <c r="O26" s="164"/>
      <c r="P26" s="164"/>
      <c r="Q26" s="164"/>
      <c r="R26" s="164"/>
      <c r="S26" s="179"/>
      <c r="T26" s="179"/>
      <c r="U26" s="179"/>
      <c r="V26" s="179"/>
      <c r="W26" s="55"/>
      <c r="X26" s="176"/>
      <c r="Y26" s="179"/>
      <c r="Z26" s="179"/>
    </row>
    <row r="27" spans="1:26" ht="73.5" customHeight="1" x14ac:dyDescent="0.25">
      <c r="A27" s="56">
        <f t="shared" si="1"/>
        <v>5</v>
      </c>
      <c r="B27" s="86" t="s">
        <v>169</v>
      </c>
      <c r="C27" s="64"/>
      <c r="D27" s="127">
        <f>1.06*1.049*1.143*1.081*1.054*1.044*1.046</f>
        <v>1.5813429687475649</v>
      </c>
      <c r="E27" s="127">
        <f t="shared" ref="E27:H27" si="3">1.06*1.049*1.143*1.081*1.054*1.044*1.046</f>
        <v>1.5813429687475649</v>
      </c>
      <c r="F27" s="127">
        <f t="shared" si="3"/>
        <v>1.5813429687475649</v>
      </c>
      <c r="G27" s="127">
        <f t="shared" si="3"/>
        <v>1.5813429687475649</v>
      </c>
      <c r="H27" s="127">
        <f t="shared" si="3"/>
        <v>1.5813429687475649</v>
      </c>
      <c r="I27" s="87">
        <f t="shared" ref="I27:J27" si="4">1.06*1.049*1.143*1.081*1.054*1.044*1.046</f>
        <v>1.5813429687475649</v>
      </c>
      <c r="J27" s="87">
        <f t="shared" si="4"/>
        <v>1.5813429687475649</v>
      </c>
      <c r="K27" s="63"/>
      <c r="N27" s="65" t="s">
        <v>131</v>
      </c>
      <c r="O27" s="65">
        <v>0.92500000000000004</v>
      </c>
      <c r="P27" s="65">
        <v>0.85</v>
      </c>
      <c r="Q27" s="65">
        <v>0.77500000000000002</v>
      </c>
      <c r="R27" s="65">
        <v>0.7</v>
      </c>
      <c r="S27" s="65">
        <v>0.7</v>
      </c>
      <c r="T27" s="65">
        <v>0.7</v>
      </c>
      <c r="U27" s="65">
        <v>0.7</v>
      </c>
      <c r="V27" s="65">
        <v>0.7</v>
      </c>
      <c r="W27" s="55"/>
      <c r="X27" s="65"/>
      <c r="Y27" s="65">
        <v>0.7</v>
      </c>
      <c r="Z27" s="65">
        <v>0.7</v>
      </c>
    </row>
    <row r="28" spans="1:26" ht="38.25" x14ac:dyDescent="0.2">
      <c r="A28" s="56">
        <f t="shared" si="1"/>
        <v>6</v>
      </c>
      <c r="B28" s="57" t="s">
        <v>132</v>
      </c>
      <c r="C28" s="64"/>
      <c r="D28" s="66">
        <f>D26*D27</f>
        <v>38097737.85701637</v>
      </c>
      <c r="E28" s="66">
        <f t="shared" ref="E28:J28" si="5">E26*E27</f>
        <v>49345971.209437445</v>
      </c>
      <c r="F28" s="66">
        <f t="shared" si="5"/>
        <v>7203807.1238573706</v>
      </c>
      <c r="G28" s="66">
        <v>0</v>
      </c>
      <c r="H28" s="66">
        <f t="shared" si="5"/>
        <v>1446697.1054605644</v>
      </c>
      <c r="I28" s="66">
        <f t="shared" si="5"/>
        <v>0</v>
      </c>
      <c r="J28" s="66">
        <f t="shared" si="5"/>
        <v>0</v>
      </c>
      <c r="K28" s="125">
        <f>D28+E28+F28+G28+H28+I28</f>
        <v>96094213.295771748</v>
      </c>
      <c r="N28" s="67">
        <v>2013</v>
      </c>
      <c r="O28" s="67">
        <v>2014</v>
      </c>
      <c r="P28" s="67">
        <v>2015</v>
      </c>
      <c r="Q28" s="67">
        <v>2016</v>
      </c>
      <c r="R28" s="67">
        <v>2017</v>
      </c>
      <c r="S28" s="67">
        <v>2018</v>
      </c>
      <c r="T28" s="67">
        <v>2019</v>
      </c>
      <c r="U28" s="67">
        <v>2020</v>
      </c>
      <c r="V28" s="67">
        <v>2021</v>
      </c>
      <c r="W28" s="67">
        <v>2021</v>
      </c>
      <c r="X28" s="67">
        <v>2021</v>
      </c>
      <c r="Y28" s="67">
        <v>2022</v>
      </c>
      <c r="Z28" s="67">
        <v>2023</v>
      </c>
    </row>
    <row r="29" spans="1:26" ht="51" x14ac:dyDescent="0.2">
      <c r="A29" s="56">
        <f t="shared" si="1"/>
        <v>7</v>
      </c>
      <c r="B29" s="57" t="s">
        <v>167</v>
      </c>
      <c r="C29" s="64"/>
      <c r="D29" s="61">
        <v>0.7</v>
      </c>
      <c r="E29" s="61">
        <v>0.7</v>
      </c>
      <c r="F29" s="61">
        <v>0.7</v>
      </c>
      <c r="G29" s="61"/>
      <c r="H29" s="61">
        <v>0.7</v>
      </c>
      <c r="I29" s="61">
        <v>0.7</v>
      </c>
      <c r="J29" s="61">
        <v>0.7</v>
      </c>
      <c r="K29" s="63"/>
      <c r="N29" s="68">
        <v>1.06</v>
      </c>
      <c r="O29" s="68">
        <v>1.0489999999999999</v>
      </c>
      <c r="P29" s="68">
        <v>1.143</v>
      </c>
      <c r="Q29" s="68">
        <v>1.0629999999999999</v>
      </c>
      <c r="R29" s="68">
        <v>1.044</v>
      </c>
      <c r="S29" s="68">
        <v>1.046</v>
      </c>
      <c r="T29" s="68">
        <v>1.044</v>
      </c>
      <c r="U29" s="68">
        <v>1.042</v>
      </c>
      <c r="V29" s="69">
        <v>1.04</v>
      </c>
      <c r="W29" s="70"/>
      <c r="X29" s="69"/>
      <c r="Y29" s="71">
        <v>1.026</v>
      </c>
      <c r="Z29" s="71">
        <v>1.026</v>
      </c>
    </row>
    <row r="30" spans="1:26" ht="38.25" x14ac:dyDescent="0.2">
      <c r="A30" s="56">
        <f t="shared" si="1"/>
        <v>8</v>
      </c>
      <c r="B30" s="72" t="s">
        <v>133</v>
      </c>
      <c r="C30" s="73"/>
      <c r="D30" s="74">
        <f>D28*D29</f>
        <v>26668416.499911457</v>
      </c>
      <c r="E30" s="74">
        <f>E28*E29</f>
        <v>34542179.84660621</v>
      </c>
      <c r="F30" s="74">
        <f>F28*F29</f>
        <v>5042664.9867001595</v>
      </c>
      <c r="G30" s="109">
        <f>G28</f>
        <v>0</v>
      </c>
      <c r="H30" s="74">
        <f>H28*H29</f>
        <v>1012687.973822395</v>
      </c>
      <c r="I30" s="74">
        <f t="shared" ref="I30:J30" si="6">I28*I29</f>
        <v>0</v>
      </c>
      <c r="J30" s="74">
        <f t="shared" si="6"/>
        <v>0</v>
      </c>
      <c r="K30" s="125">
        <f>D30+E30+F30+G30+H30+I30</f>
        <v>67265949.307040229</v>
      </c>
    </row>
    <row r="31" spans="1:26" ht="39" thickBot="1" x14ac:dyDescent="0.25">
      <c r="A31" s="75">
        <f t="shared" si="1"/>
        <v>9</v>
      </c>
      <c r="B31" s="76" t="s">
        <v>134</v>
      </c>
      <c r="C31" s="77"/>
      <c r="D31" s="78">
        <f t="shared" ref="D31:J31" si="7">D30*1.18</f>
        <v>31468731.469895519</v>
      </c>
      <c r="E31" s="78">
        <f>E30*1.18</f>
        <v>40759772.218995325</v>
      </c>
      <c r="F31" s="78">
        <f t="shared" si="7"/>
        <v>5950344.6843061876</v>
      </c>
      <c r="G31" s="78">
        <f t="shared" si="7"/>
        <v>0</v>
      </c>
      <c r="H31" s="78">
        <f t="shared" si="7"/>
        <v>1194971.8091104261</v>
      </c>
      <c r="I31" s="78">
        <f t="shared" si="7"/>
        <v>0</v>
      </c>
      <c r="J31" s="78">
        <f t="shared" si="7"/>
        <v>0</v>
      </c>
      <c r="K31" s="126">
        <f>D31+E31+F31+G31+H31+I31</f>
        <v>79373820.182307467</v>
      </c>
    </row>
    <row r="34" spans="2:10" hidden="1" x14ac:dyDescent="0.2">
      <c r="B34" s="79" t="s">
        <v>154</v>
      </c>
      <c r="F34" s="52" t="s">
        <v>155</v>
      </c>
      <c r="G34" s="95"/>
      <c r="H34" s="80"/>
      <c r="I34" s="80"/>
      <c r="J34" s="81"/>
    </row>
    <row r="35" spans="2:10" hidden="1" x14ac:dyDescent="0.2">
      <c r="B35" s="79"/>
      <c r="G35" s="81"/>
      <c r="H35" s="80"/>
      <c r="I35" s="80"/>
      <c r="J35" s="81"/>
    </row>
    <row r="36" spans="2:10" hidden="1" x14ac:dyDescent="0.2">
      <c r="B36" s="79"/>
      <c r="G36" s="80"/>
      <c r="H36" s="80"/>
      <c r="I36" s="80"/>
      <c r="J36" s="81"/>
    </row>
    <row r="37" spans="2:10" hidden="1" x14ac:dyDescent="0.2">
      <c r="B37" s="80"/>
      <c r="C37" s="80"/>
      <c r="D37" s="80"/>
      <c r="E37" s="80"/>
      <c r="F37" s="80"/>
      <c r="G37" s="104"/>
      <c r="H37" s="80"/>
      <c r="I37" s="80"/>
      <c r="J37" s="80"/>
    </row>
    <row r="38" spans="2:10" hidden="1" x14ac:dyDescent="0.2">
      <c r="B38" s="52" t="s">
        <v>156</v>
      </c>
      <c r="F38" s="52" t="s">
        <v>135</v>
      </c>
      <c r="G38" s="80"/>
      <c r="H38" s="80"/>
      <c r="I38" s="80"/>
      <c r="J38" s="80"/>
    </row>
    <row r="39" spans="2:10" hidden="1" x14ac:dyDescent="0.2">
      <c r="B39" s="80"/>
      <c r="C39" s="80"/>
      <c r="D39" s="80"/>
      <c r="E39" s="80"/>
      <c r="F39" s="80"/>
      <c r="G39" s="80"/>
      <c r="H39" s="80"/>
      <c r="I39" s="80"/>
      <c r="J39" s="80"/>
    </row>
    <row r="40" spans="2:10" hidden="1" x14ac:dyDescent="0.2">
      <c r="B40" s="80"/>
      <c r="C40" s="80"/>
      <c r="D40" s="80"/>
      <c r="E40" s="80"/>
      <c r="F40" s="80"/>
      <c r="G40" s="80"/>
      <c r="H40" s="80"/>
      <c r="I40" s="80"/>
      <c r="J40" s="80"/>
    </row>
    <row r="41" spans="2:10" hidden="1" x14ac:dyDescent="0.2">
      <c r="B41" s="80"/>
      <c r="C41" s="80"/>
      <c r="D41" s="80"/>
      <c r="E41" s="80"/>
      <c r="F41" s="80"/>
      <c r="H41" s="80"/>
      <c r="I41" s="80"/>
      <c r="J41" s="80"/>
    </row>
    <row r="42" spans="2:10" hidden="1" x14ac:dyDescent="0.2"/>
    <row r="43" spans="2:10" hidden="1" x14ac:dyDescent="0.2">
      <c r="B43" s="52" t="s">
        <v>157</v>
      </c>
    </row>
    <row r="44" spans="2:10" hidden="1" x14ac:dyDescent="0.2">
      <c r="B44" s="52" t="s">
        <v>158</v>
      </c>
    </row>
    <row r="45" spans="2:10" hidden="1" x14ac:dyDescent="0.2">
      <c r="B45" s="52" t="s">
        <v>159</v>
      </c>
      <c r="F45" s="52" t="s">
        <v>160</v>
      </c>
    </row>
    <row r="46" spans="2:10" hidden="1" x14ac:dyDescent="0.2"/>
    <row r="47" spans="2:10" hidden="1" x14ac:dyDescent="0.2"/>
    <row r="48" spans="2:10" hidden="1" x14ac:dyDescent="0.2"/>
  </sheetData>
  <mergeCells count="23">
    <mergeCell ref="A19:J19"/>
    <mergeCell ref="A13:K13"/>
    <mergeCell ref="A14:K14"/>
    <mergeCell ref="A16:H16"/>
    <mergeCell ref="A17:G17"/>
    <mergeCell ref="A18:H18"/>
    <mergeCell ref="X22:X26"/>
    <mergeCell ref="Y22:Y26"/>
    <mergeCell ref="Z22:Z26"/>
    <mergeCell ref="Q22:Q26"/>
    <mergeCell ref="R22:R26"/>
    <mergeCell ref="S22:S26"/>
    <mergeCell ref="T22:T26"/>
    <mergeCell ref="U22:U26"/>
    <mergeCell ref="V22:V26"/>
    <mergeCell ref="P22:P26"/>
    <mergeCell ref="N22:N26"/>
    <mergeCell ref="O22:O26"/>
    <mergeCell ref="B21:B22"/>
    <mergeCell ref="A21:A22"/>
    <mergeCell ref="D21:D22"/>
    <mergeCell ref="F21:K21"/>
    <mergeCell ref="E21:E22"/>
  </mergeCells>
  <pageMargins left="0.25" right="0.25" top="0.75" bottom="0.75" header="0.3" footer="0.3"/>
  <pageSetup paperSize="9" scale="6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ССР база</vt:lpstr>
      <vt:lpstr>ССР проектный в тек. ценах</vt:lpstr>
      <vt:lpstr>ССР</vt:lpstr>
      <vt:lpstr>30% снижение</vt:lpstr>
      <vt:lpstr>'ССР база'!Заголовки_для_печати</vt:lpstr>
      <vt:lpstr>'30% снижение'!Область_печати</vt:lpstr>
      <vt:lpstr>ССР!Область_печати</vt:lpstr>
      <vt:lpstr>'ССР база'!Область_печати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Дехтяренко Ирина Феодосьевна</cp:lastModifiedBy>
  <cp:lastPrinted>2018-05-04T12:56:58Z</cp:lastPrinted>
  <dcterms:created xsi:type="dcterms:W3CDTF">2002-03-25T05:35:56Z</dcterms:created>
  <dcterms:modified xsi:type="dcterms:W3CDTF">2018-05-05T11:24:09Z</dcterms:modified>
</cp:coreProperties>
</file>